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<sst xmlns="http://schemas.openxmlformats.org/spreadsheetml/2006/main" count="673" uniqueCount="463">
  <si>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</si>
  <si>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</si>
  <si>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</si>
  <si>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</si>
  <si>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</si>
  <si>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</si>
  <si>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</si>
  <si>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</si>
  <si>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</si>
  <si>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</si>
  <si>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</si>
  <si>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</si>
  <si>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</si>
  <si>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</si>
  <si>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</si>
  <si>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</si>
  <si>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</si>
  <si>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</si>
  <si>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</si>
  <si>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</si>
  <si>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</si>
  <si>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</si>
  <si>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</si>
  <si>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</si>
  <si>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</si>
  <si>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</si>
  <si>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</si>
  <si>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</si>
  <si>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</si>
  <si>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</si>
  <si>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</si>
  <si>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</si>
  <si>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</si>
  <si>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</si>
  <si>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</si>
  <si>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</si>
  <si>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</si>
  <si>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</si>
  <si>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</si>
  <si>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</si>
  <si>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</si>
  <si>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</si>
  <si>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</si>
  <si>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</si>
  <si>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</si>
  <si>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</si>
  <si>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</si>
  <si>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</si>
  <si>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</si>
  <si>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</si>
  <si>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</si>
  <si>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</si>
  <si>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</si>
  <si>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</si>
  <si>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</si>
  <si>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</si>
  <si>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</si>
  <si>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</si>
  <si>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</si>
  <si>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</si>
  <si>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</si>
  <si>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</si>
  <si>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</si>
  <si>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</si>
  <si>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</si>
  <si>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</si>
  <si>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</si>
  <si>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</si>
  <si>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</si>
  <si>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</si>
  <si>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</si>
  <si>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</si>
  <si>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</si>
  <si>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</si>
  <si>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</si>
  <si>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</si>
  <si>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</si>
  <si>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</si>
  <si>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</si>
  <si>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</si>
  <si>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</si>
  <si>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</si>
  <si>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</si>
  <si>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</si>
  <si>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</si>
  <si>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</si>
  <si>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</si>
  <si>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</si>
  <si>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</si>
  <si>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</si>
  <si>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</si>
  <si>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</si>
  <si>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</si>
  <si>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</si>
  <si>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</si>
  <si>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</si>
  <si>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</si>
  <si>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</si>
  <si>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</si>
  <si>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</si>
  <si>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</si>
  <si>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</si>
  <si>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</si>
  <si>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</si>
  <si>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</si>
  <si>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</si>
  <si>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</si>
  <si>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</si>
  <si>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</si>
  <si>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</si>
  <si>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</si>
  <si>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</si>
  <si>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</si>
  <si>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</si>
  <si>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</si>
  <si>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</si>
  <si>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</si>
  <si>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</si>
  <si>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</si>
  <si>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</si>
  <si>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</si>
  <si>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</si>
  <si>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</si>
  <si>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</si>
  <si>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</si>
  <si>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</si>
  <si>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</si>
  <si>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</si>
  <si>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</si>
  <si>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</si>
  <si>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</si>
  <si>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</si>
  <si>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</si>
  <si>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</si>
  <si>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</si>
  <si>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</si>
  <si>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</si>
  <si>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</si>
  <si>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</si>
  <si>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</si>
  <si>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</si>
  <si>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</si>
  <si>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</si>
  <si>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</si>
  <si>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</si>
  <si>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</si>
  <si>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</si>
  <si>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</si>
  <si>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</si>
  <si>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</si>
  <si>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</si>
  <si>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</si>
  <si>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</si>
  <si>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</si>
  <si>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</si>
  <si>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</si>
  <si>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</si>
  <si>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</si>
  <si>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</si>
  <si>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</si>
  <si>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</si>
  <si>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</si>
  <si>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</si>
  <si>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</si>
  <si>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</si>
  <si>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</si>
  <si>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</si>
  <si>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</si>
  <si>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</si>
  <si>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</si>
  <si>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</si>
  <si>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</si>
  <si>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</si>
  <si>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</si>
  <si>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</si>
  <si>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</si>
  <si>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</si>
  <si>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</si>
  <si>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</si>
  <si>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</si>
  <si>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</si>
  <si>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</si>
  <si>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</si>
  <si>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</si>
  <si>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</si>
  <si>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</si>
  <si>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</si>
  <si>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</si>
  <si>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</si>
  <si>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</si>
  <si>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</si>
  <si>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</si>
  <si>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</si>
  <si>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</si>
  <si>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</si>
  <si>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</si>
  <si>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</si>
  <si>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</si>
  <si>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</si>
  <si>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</si>
  <si>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</si>
  <si>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</si>
  <si>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</si>
  <si>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</si>
  <si>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</si>
  <si>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</si>
  <si>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</si>
  <si>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</si>
  <si>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</si>
  <si>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</si>
  <si>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</si>
  <si>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</si>
  <si>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</si>
  <si>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</si>
  <si>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</si>
  <si>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</si>
  <si>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</si>
  <si>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</si>
  <si>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</si>
  <si>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</si>
  <si>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</si>
  <si>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</si>
  <si>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</si>
  <si>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</si>
  <si>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</si>
  <si>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</si>
  <si>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</si>
  <si>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</si>
  <si>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</si>
  <si>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</si>
  <si>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</si>
  <si>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</si>
  <si>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</si>
  <si>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</si>
  <si>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</si>
  <si>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</si>
  <si>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</si>
  <si>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</si>
  <si>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</si>
  <si>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</si>
  <si>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</si>
  <si>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</si>
  <si>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</si>
  <si>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</si>
  <si>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</si>
  <si>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</si>
  <si>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</si>
  <si>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</si>
  <si>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</si>
  <si>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</si>
  <si>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</si>
  <si>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</si>
  <si>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</si>
  <si>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</si>
  <si>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</si>
  <si>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</si>
  <si>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</si>
  <si>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</si>
  <si>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</si>
  <si>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</si>
  <si>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</si>
  <si>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</si>
  <si>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</si>
  <si>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</si>
  <si>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</si>
  <si>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</si>
  <si>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</si>
  <si>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</si>
  <si>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</si>
  <si>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</si>
  <si>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</si>
  <si>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</si>
  <si>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</si>
  <si>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</si>
  <si>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</si>
  <si>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</si>
  <si>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</si>
  <si>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</si>
  <si>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</si>
  <si>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</si>
  <si>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</si>
  <si>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</si>
  <si>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</si>
  <si>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</si>
  <si>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</si>
  <si>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</si>
  <si>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</si>
  <si>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</si>
  <si>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</si>
  <si>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</si>
  <si>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</si>
  <si>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</si>
  <si>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</si>
  <si>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</si>
  <si>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</si>
  <si>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</si>
  <si>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</si>
  <si>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</si>
  <si>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</si>
  <si>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</si>
  <si>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</si>
  <si>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</si>
  <si>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</si>
  <si>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</si>
  <si>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</si>
  <si>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</si>
  <si>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</si>
  <si>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</si>
  <si>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</si>
  <si>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</si>
  <si>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</si>
  <si>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</si>
  <si>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</si>
  <si>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</si>
  <si>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</si>
  <si>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</si>
  <si>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</si>
  <si>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</si>
  <si>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</si>
  <si>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</si>
  <si>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</si>
  <si>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</si>
  <si>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</si>
  <si>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</si>
  <si>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</si>
  <si>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</si>
  <si>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</si>
  <si>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</si>
  <si>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</si>
  <si>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</si>
  <si>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</si>
  <si>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</si>
  <si>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</si>
  <si>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</si>
  <si>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</si>
  <si>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</si>
  <si>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</si>
  <si>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</si>
  <si>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</si>
  <si>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</si>
  <si>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</si>
  <si>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</si>
  <si>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</si>
  <si>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</si>
  <si>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</si>
  <si>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</si>
  <si>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</si>
  <si>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</si>
  <si>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</si>
  <si>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</si>
  <si>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</si>
  <si>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</si>
  <si>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</si>
  <si>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</si>
  <si>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</si>
  <si>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</si>
  <si>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</si>
  <si>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</si>
  <si>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</si>
  <si>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</si>
  <si>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</si>
  <si>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</si>
  <si>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</si>
  <si>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</si>
  <si>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</si>
  <si>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</si>
  <si>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</si>
  <si>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</si>
  <si>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</si>
  <si>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</si>
  <si>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</si>
  <si>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</si>
  <si>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</si>
  <si>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</si>
  <si>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</si>
  <si>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</si>
  <si>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</si>
  <si>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</si>
  <si>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</si>
  <si>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</si>
  <si>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</si>
  <si>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</si>
  <si>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</si>
  <si>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</si>
  <si>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</si>
  <si>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</si>
  <si>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</si>
  <si>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</si>
  <si>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</si>
  <si>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</si>
  <si>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</si>
  <si>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</si>
  <si>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</si>
  <si>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</si>
  <si>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</si>
  <si>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</si>
  <si>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</si>
  <si>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</si>
  <si>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</si>
  <si>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</si>
  <si>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</si>
  <si>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</si>
  <si>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</si>
  <si>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</si>
  <si>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</si>
  <si>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</si>
  <si>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</si>
  <si>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</si>
  <si>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</si>
  <si>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</si>
  <si>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</si>
  <si>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</si>
  <si>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</si>
  <si>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</si>
  <si>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</si>
  <si>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</si>
  <si>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</si>
  <si>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</si>
  <si>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</si>
  <si>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</si>
  <si>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</si>
  <si>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</si>
  <si>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</si>
  <si>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</si>
  <si>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</si>
  <si>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</si>
  <si>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</si>
  <si>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</si>
  <si>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</si>
  <si>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</si>
  <si>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</si>
  <si>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</si>
  <si>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</si>
  <si>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</si>
  <si>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</si>
  <si>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</si>
  <si>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</si>
  <si>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</si>
  <si>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</si>
  <si>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</si>
  <si>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</si>
  <si>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</si>
  <si>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</si>
  <si>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</si>
  <si>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</si>
  <si>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</si>
  <si>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</si>
  <si>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</si>
  <si>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</si>
  <si>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</si>
  <si>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</si>
  <si>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</si>
  <si>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</si>
  <si>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</si>
  <si>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</si>
  <si>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</si>
  <si>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</si>
  <si>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</si>
  <si>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</si>
  <si>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БЕАТРИЧЕ  ТЪРНАДЖИЙСКА</t>
  </si>
  <si>
    <t>КАЛОЯН  ИЛИЕВ</t>
  </si>
  <si>
    <t>ОБЩИНА  ИХТИМАН</t>
  </si>
  <si>
    <t>ГР.  ИХТИМАН, УЛ. ЦАР  ОСВОБОДИТЕЛ №123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</si>
</sst>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27" borderId="2" applyNumberFormat="0" applyAlignment="0" applyProtection="0"/>
    <xf numFmtId="0" fontId="137" fillId="28" borderId="0" applyNumberFormat="0" applyBorder="0" applyAlignment="0" applyProtection="0"/>
    <xf numFmtId="0" fontId="138" fillId="0" borderId="0" applyNumberFormat="0" applyFill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2" fillId="29" borderId="6" applyNumberFormat="0" applyAlignment="0" applyProtection="0"/>
    <xf numFmtId="0" fontId="143" fillId="29" borderId="2" applyNumberFormat="0" applyAlignment="0" applyProtection="0"/>
    <xf numFmtId="0" fontId="144" fillId="30" borderId="7" applyNumberFormat="0" applyAlignment="0" applyProtection="0"/>
    <xf numFmtId="0" fontId="145" fillId="31" borderId="0" applyNumberFormat="0" applyBorder="0" applyAlignment="0" applyProtection="0"/>
    <xf numFmtId="0" fontId="146" fillId="32" borderId="0" applyNumberFormat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0" fillId="0" borderId="8" applyNumberFormat="0" applyFill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3" fillId="26" borderId="0" xfId="38" applyFont="1" applyFill="1" applyAlignment="1" applyProtection="1">
      <alignment horizontal="right"/>
      <protection/>
    </xf>
    <xf numFmtId="0" fontId="154" fillId="26" borderId="0" xfId="38" applyFont="1" applyFill="1" applyBorder="1" applyAlignment="1" applyProtection="1">
      <alignment horizontal="center"/>
      <protection/>
    </xf>
    <xf numFmtId="174" fontId="155" fillId="26" borderId="0" xfId="41" applyNumberFormat="1" applyFont="1" applyFill="1" applyAlignment="1" applyProtection="1">
      <alignment/>
      <protection/>
    </xf>
    <xf numFmtId="0" fontId="153" fillId="26" borderId="0" xfId="33" applyFont="1" applyFill="1" applyAlignment="1" applyProtection="1" quotePrefix="1">
      <alignment/>
      <protection/>
    </xf>
    <xf numFmtId="0" fontId="155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6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5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0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8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55" fillId="40" borderId="25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9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1" applyNumberFormat="1" applyFont="1" applyFill="1" applyAlignment="1" applyProtection="1">
      <alignment/>
      <protection/>
    </xf>
    <xf numFmtId="182" fontId="14" fillId="37" borderId="0" xfId="40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6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26" borderId="27" xfId="0" applyNumberFormat="1" applyFont="1" applyFill="1" applyBorder="1" applyAlignment="1" applyProtection="1">
      <alignment horizontal="center"/>
      <protection/>
    </xf>
    <xf numFmtId="174" fontId="12" fillId="26" borderId="27" xfId="0" applyNumberFormat="1" applyFont="1" applyFill="1" applyBorder="1" applyAlignment="1" applyProtection="1">
      <alignment horizontal="center"/>
      <protection/>
    </xf>
    <xf numFmtId="174" fontId="34" fillId="42" borderId="27" xfId="0" applyNumberFormat="1" applyFont="1" applyFill="1" applyBorder="1" applyAlignment="1" applyProtection="1">
      <alignment horizontal="center"/>
      <protection locked="0"/>
    </xf>
    <xf numFmtId="0" fontId="2" fillId="26" borderId="28" xfId="0" applyFont="1" applyFill="1" applyBorder="1" applyAlignment="1" applyProtection="1">
      <alignment horizontal="right"/>
      <protection/>
    </xf>
    <xf numFmtId="0" fontId="11" fillId="26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0" xfId="41" applyNumberFormat="1" applyFont="1" applyFill="1" applyBorder="1" applyAlignment="1" applyProtection="1">
      <alignment/>
      <protection/>
    </xf>
    <xf numFmtId="38" fontId="8" fillId="33" borderId="30" xfId="41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41" applyNumberFormat="1" applyFont="1" applyFill="1" applyBorder="1" applyAlignment="1" applyProtection="1">
      <alignment/>
      <protection/>
    </xf>
    <xf numFmtId="38" fontId="9" fillId="43" borderId="30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0" xfId="41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5" borderId="42" xfId="41" applyNumberFormat="1" applyFont="1" applyFill="1" applyBorder="1" applyAlignment="1" applyProtection="1">
      <alignment/>
      <protection/>
    </xf>
    <xf numFmtId="38" fontId="8" fillId="45" borderId="43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8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41" applyNumberFormat="1" applyFont="1" applyFill="1" applyBorder="1" applyAlignment="1" applyProtection="1">
      <alignment/>
      <protection/>
    </xf>
    <xf numFmtId="38" fontId="24" fillId="43" borderId="54" xfId="41" applyNumberFormat="1" applyFont="1" applyFill="1" applyBorder="1" applyAlignment="1" applyProtection="1">
      <alignment/>
      <protection/>
    </xf>
    <xf numFmtId="38" fontId="24" fillId="43" borderId="47" xfId="41" applyNumberFormat="1" applyFont="1" applyFill="1" applyBorder="1" applyAlignment="1" applyProtection="1">
      <alignment/>
      <protection/>
    </xf>
    <xf numFmtId="38" fontId="24" fillId="43" borderId="48" xfId="41" applyNumberFormat="1" applyFont="1" applyFill="1" applyBorder="1" applyAlignment="1" applyProtection="1">
      <alignment/>
      <protection/>
    </xf>
    <xf numFmtId="38" fontId="24" fillId="43" borderId="49" xfId="41" applyNumberFormat="1" applyFont="1" applyFill="1" applyBorder="1" applyAlignment="1" applyProtection="1">
      <alignment/>
      <protection/>
    </xf>
    <xf numFmtId="38" fontId="24" fillId="43" borderId="50" xfId="41" applyNumberFormat="1" applyFont="1" applyFill="1" applyBorder="1" applyAlignment="1" applyProtection="1">
      <alignment/>
      <protection/>
    </xf>
    <xf numFmtId="38" fontId="8" fillId="33" borderId="55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2" xfId="41" applyNumberFormat="1" applyFont="1" applyFill="1" applyBorder="1" applyAlignment="1" applyProtection="1">
      <alignment/>
      <protection/>
    </xf>
    <xf numFmtId="38" fontId="24" fillId="43" borderId="43" xfId="41" applyNumberFormat="1" applyFont="1" applyFill="1" applyBorder="1" applyAlignment="1" applyProtection="1">
      <alignment/>
      <protection/>
    </xf>
    <xf numFmtId="38" fontId="24" fillId="43" borderId="44" xfId="41" applyNumberFormat="1" applyFont="1" applyFill="1" applyBorder="1" applyAlignment="1" applyProtection="1">
      <alignment/>
      <protection/>
    </xf>
    <xf numFmtId="38" fontId="9" fillId="46" borderId="56" xfId="41" applyNumberFormat="1" applyFont="1" applyFill="1" applyBorder="1" applyAlignment="1" applyProtection="1">
      <alignment/>
      <protection/>
    </xf>
    <xf numFmtId="38" fontId="9" fillId="46" borderId="57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26" borderId="43" xfId="0" applyFont="1" applyFill="1" applyBorder="1" applyAlignment="1" applyProtection="1">
      <alignment horizontal="left"/>
      <protection/>
    </xf>
    <xf numFmtId="183" fontId="162" fillId="33" borderId="27" xfId="0" applyNumberFormat="1" applyFont="1" applyFill="1" applyBorder="1" applyAlignment="1" applyProtection="1">
      <alignment horizontal="center"/>
      <protection locked="0"/>
    </xf>
    <xf numFmtId="183" fontId="162" fillId="33" borderId="45" xfId="0" applyNumberFormat="1" applyFont="1" applyFill="1" applyBorder="1" applyAlignment="1" applyProtection="1">
      <alignment horizontal="center"/>
      <protection/>
    </xf>
    <xf numFmtId="0" fontId="3" fillId="26" borderId="43" xfId="0" applyFont="1" applyFill="1" applyBorder="1" applyAlignment="1" applyProtection="1">
      <alignment horizontal="right"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38" fontId="15" fillId="33" borderId="61" xfId="41" applyNumberFormat="1" applyFont="1" applyFill="1" applyBorder="1" applyAlignment="1" applyProtection="1">
      <alignment/>
      <protection/>
    </xf>
    <xf numFmtId="38" fontId="8" fillId="33" borderId="62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8" fillId="43" borderId="55" xfId="41" applyNumberFormat="1" applyFont="1" applyFill="1" applyBorder="1" applyAlignment="1" applyProtection="1">
      <alignment/>
      <protection/>
    </xf>
    <xf numFmtId="38" fontId="9" fillId="43" borderId="62" xfId="41" applyNumberFormat="1" applyFont="1" applyFill="1" applyBorder="1" applyAlignment="1" applyProtection="1">
      <alignment/>
      <protection/>
    </xf>
    <xf numFmtId="38" fontId="9" fillId="43" borderId="59" xfId="41" applyNumberFormat="1" applyFont="1" applyFill="1" applyBorder="1" applyAlignment="1" applyProtection="1">
      <alignment/>
      <protection/>
    </xf>
    <xf numFmtId="38" fontId="9" fillId="43" borderId="63" xfId="41" applyNumberFormat="1" applyFont="1" applyFill="1" applyBorder="1" applyAlignment="1" applyProtection="1">
      <alignment/>
      <protection/>
    </xf>
    <xf numFmtId="38" fontId="24" fillId="43" borderId="51" xfId="41" applyNumberFormat="1" applyFont="1" applyFill="1" applyBorder="1" applyAlignment="1" applyProtection="1">
      <alignment/>
      <protection/>
    </xf>
    <xf numFmtId="38" fontId="24" fillId="43" borderId="59" xfId="41" applyNumberFormat="1" applyFont="1" applyFill="1" applyBorder="1" applyAlignment="1" applyProtection="1">
      <alignment/>
      <protection/>
    </xf>
    <xf numFmtId="38" fontId="24" fillId="43" borderId="60" xfId="41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41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41" applyNumberFormat="1" applyFont="1" applyFill="1" applyBorder="1" applyAlignment="1" applyProtection="1">
      <alignment/>
      <protection/>
    </xf>
    <xf numFmtId="38" fontId="163" fillId="46" borderId="63" xfId="41" applyNumberFormat="1" applyFont="1" applyFill="1" applyBorder="1" applyAlignment="1" applyProtection="1">
      <alignment/>
      <protection/>
    </xf>
    <xf numFmtId="38" fontId="9" fillId="33" borderId="63" xfId="41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4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4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4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4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4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4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4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3" fillId="33" borderId="51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8" fillId="43" borderId="55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2" xfId="41" applyNumberFormat="1" applyFont="1" applyFill="1" applyBorder="1" applyAlignment="1" applyProtection="1">
      <alignment horizontal="center"/>
      <protection/>
    </xf>
    <xf numFmtId="38" fontId="9" fillId="43" borderId="62" xfId="41" applyNumberFormat="1" applyFont="1" applyFill="1" applyBorder="1" applyAlignment="1" applyProtection="1">
      <alignment horizontal="center"/>
      <protection/>
    </xf>
    <xf numFmtId="38" fontId="9" fillId="43" borderId="45" xfId="41" applyNumberFormat="1" applyFont="1" applyFill="1" applyBorder="1" applyAlignment="1" applyProtection="1">
      <alignment horizontal="center"/>
      <protection/>
    </xf>
    <xf numFmtId="38" fontId="9" fillId="43" borderId="46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3" xfId="41" applyNumberFormat="1" applyFont="1" applyFill="1" applyBorder="1" applyAlignment="1" applyProtection="1">
      <alignment horizontal="center"/>
      <protection/>
    </xf>
    <xf numFmtId="38" fontId="9" fillId="43" borderId="56" xfId="41" applyNumberFormat="1" applyFont="1" applyFill="1" applyBorder="1" applyAlignment="1" applyProtection="1">
      <alignment horizontal="center"/>
      <protection/>
    </xf>
    <xf numFmtId="38" fontId="9" fillId="43" borderId="57" xfId="41" applyNumberFormat="1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38" fontId="24" fillId="43" borderId="42" xfId="41" applyNumberFormat="1" applyFont="1" applyFill="1" applyBorder="1" applyAlignment="1" applyProtection="1">
      <alignment horizontal="center"/>
      <protection/>
    </xf>
    <xf numFmtId="38" fontId="24" fillId="43" borderId="43" xfId="41" applyNumberFormat="1" applyFont="1" applyFill="1" applyBorder="1" applyAlignment="1" applyProtection="1">
      <alignment horizontal="center"/>
      <protection/>
    </xf>
    <xf numFmtId="38" fontId="24" fillId="43" borderId="44" xfId="41" applyNumberFormat="1" applyFont="1" applyFill="1" applyBorder="1" applyAlignment="1" applyProtection="1">
      <alignment horizontal="center"/>
      <protection/>
    </xf>
    <xf numFmtId="38" fontId="8" fillId="33" borderId="55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2" xfId="41" applyNumberFormat="1" applyFont="1" applyFill="1" applyBorder="1" applyAlignment="1" applyProtection="1">
      <alignment horizontal="center"/>
      <protection/>
    </xf>
    <xf numFmtId="3" fontId="11" fillId="33" borderId="63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3" fontId="11" fillId="33" borderId="57" xfId="36" applyNumberFormat="1" applyFont="1" applyFill="1" applyBorder="1" applyAlignment="1" applyProtection="1">
      <alignment horizontal="center"/>
      <protection/>
    </xf>
    <xf numFmtId="0" fontId="5" fillId="39" borderId="67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0" fontId="5" fillId="39" borderId="37" xfId="36" applyFont="1" applyFill="1" applyBorder="1" applyAlignment="1" applyProtection="1">
      <alignment horizontal="left"/>
      <protection/>
    </xf>
    <xf numFmtId="174" fontId="5" fillId="39" borderId="66" xfId="36" applyNumberFormat="1" applyFont="1" applyFill="1" applyBorder="1" applyAlignment="1" applyProtection="1">
      <alignment horizontal="left"/>
      <protection/>
    </xf>
    <xf numFmtId="174" fontId="5" fillId="39" borderId="38" xfId="36" applyNumberFormat="1" applyFont="1" applyFill="1" applyBorder="1" applyAlignment="1" applyProtection="1">
      <alignment horizontal="left"/>
      <protection/>
    </xf>
    <xf numFmtId="174" fontId="5" fillId="39" borderId="39" xfId="36" applyNumberFormat="1" applyFont="1" applyFill="1" applyBorder="1" applyAlignment="1" applyProtection="1">
      <alignment horizontal="left"/>
      <protection/>
    </xf>
    <xf numFmtId="38" fontId="15" fillId="33" borderId="61" xfId="41" applyNumberFormat="1" applyFont="1" applyFill="1" applyBorder="1" applyAlignment="1" applyProtection="1">
      <alignment horizontal="left"/>
      <protection/>
    </xf>
    <xf numFmtId="38" fontId="15" fillId="33" borderId="30" xfId="41" applyNumberFormat="1" applyFont="1" applyFill="1" applyBorder="1" applyAlignment="1" applyProtection="1">
      <alignment horizontal="left"/>
      <protection/>
    </xf>
    <xf numFmtId="38" fontId="8" fillId="33" borderId="62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46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30" xfId="41" applyNumberFormat="1" applyFont="1" applyFill="1" applyBorder="1" applyAlignment="1" applyProtection="1">
      <alignment horizontal="left"/>
      <protection/>
    </xf>
    <xf numFmtId="0" fontId="165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66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26" borderId="82" xfId="0" applyNumberFormat="1" applyFont="1" applyFill="1" applyBorder="1" applyAlignment="1" applyProtection="1">
      <alignment/>
      <protection/>
    </xf>
    <xf numFmtId="184" fontId="3" fillId="26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9" fillId="39" borderId="102" xfId="0" applyNumberFormat="1" applyFont="1" applyFill="1" applyBorder="1" applyAlignment="1" applyProtection="1" quotePrefix="1">
      <alignment horizontal="center"/>
      <protection/>
    </xf>
    <xf numFmtId="191" fontId="165" fillId="41" borderId="102" xfId="0" applyNumberFormat="1" applyFont="1" applyFill="1" applyBorder="1" applyAlignment="1" applyProtection="1" quotePrefix="1">
      <alignment horizontal="center"/>
      <protection/>
    </xf>
    <xf numFmtId="191" fontId="166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7" fillId="38" borderId="104" xfId="0" applyNumberFormat="1" applyFont="1" applyFill="1" applyBorder="1" applyAlignment="1" applyProtection="1">
      <alignment horizontal="center"/>
      <protection/>
    </xf>
    <xf numFmtId="182" fontId="167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4" fillId="43" borderId="108" xfId="0" applyNumberFormat="1" applyFont="1" applyFill="1" applyBorder="1" applyAlignment="1" applyProtection="1">
      <alignment/>
      <protection/>
    </xf>
    <xf numFmtId="184" fontId="34" fillId="43" borderId="92" xfId="0" applyNumberFormat="1" applyFont="1" applyFill="1" applyBorder="1" applyAlignment="1" applyProtection="1">
      <alignment/>
      <protection/>
    </xf>
    <xf numFmtId="184" fontId="34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4" fillId="43" borderId="111" xfId="0" applyNumberFormat="1" applyFont="1" applyFill="1" applyBorder="1" applyAlignment="1" applyProtection="1">
      <alignment/>
      <protection/>
    </xf>
    <xf numFmtId="184" fontId="12" fillId="43" borderId="110" xfId="36" applyNumberFormat="1" applyFont="1" applyFill="1" applyBorder="1" applyAlignment="1" applyProtection="1">
      <alignment/>
      <protection/>
    </xf>
    <xf numFmtId="0" fontId="169" fillId="48" borderId="0" xfId="37" applyFont="1" applyFill="1" applyBorder="1" applyAlignment="1" applyProtection="1">
      <alignment horizontal="center"/>
      <protection/>
    </xf>
    <xf numFmtId="174" fontId="16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70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70" fillId="35" borderId="0" xfId="40" applyFont="1" applyFill="1" applyBorder="1" applyAlignment="1" applyProtection="1">
      <alignment/>
      <protection/>
    </xf>
    <xf numFmtId="0" fontId="169" fillId="33" borderId="0" xfId="37" applyFont="1" applyFill="1" applyBorder="1" applyAlignment="1" applyProtection="1">
      <alignment horizontal="center"/>
      <protection/>
    </xf>
    <xf numFmtId="172" fontId="58" fillId="50" borderId="27" xfId="40" applyNumberFormat="1" applyFont="1" applyFill="1" applyBorder="1" applyAlignment="1" applyProtection="1">
      <alignment horizontal="center" vertical="center"/>
      <protection locked="0"/>
    </xf>
    <xf numFmtId="174" fontId="153" fillId="26" borderId="0" xfId="41" applyNumberFormat="1" applyFont="1" applyFill="1" applyAlignment="1" applyProtection="1">
      <alignment/>
      <protection/>
    </xf>
    <xf numFmtId="0" fontId="155" fillId="35" borderId="0" xfId="40" applyFont="1" applyFill="1" applyBorder="1" applyProtection="1">
      <alignment/>
      <protection/>
    </xf>
    <xf numFmtId="0" fontId="171" fillId="35" borderId="0" xfId="40" applyFont="1" applyFill="1" applyBorder="1" applyProtection="1">
      <alignment/>
      <protection/>
    </xf>
    <xf numFmtId="0" fontId="171" fillId="35" borderId="0" xfId="40" applyFont="1" applyFill="1" applyProtection="1">
      <alignment/>
      <protection/>
    </xf>
    <xf numFmtId="180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8" fillId="36" borderId="0" xfId="40" applyFont="1" applyFill="1" applyProtection="1">
      <alignment/>
      <protection/>
    </xf>
    <xf numFmtId="172" fontId="13" fillId="36" borderId="27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8" fillId="36" borderId="0" xfId="40" applyFont="1" applyFill="1" applyBorder="1" applyProtection="1">
      <alignment/>
      <protection/>
    </xf>
    <xf numFmtId="174" fontId="8" fillId="33" borderId="0" xfId="41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72" fontId="173" fillId="33" borderId="27" xfId="40" applyNumberFormat="1" applyFont="1" applyFill="1" applyBorder="1" applyAlignment="1" applyProtection="1">
      <alignment horizontal="center" vertical="center"/>
      <protection/>
    </xf>
    <xf numFmtId="172" fontId="174" fillId="33" borderId="27" xfId="40" applyNumberFormat="1" applyFont="1" applyFill="1" applyBorder="1" applyAlignment="1" applyProtection="1">
      <alignment horizontal="center" vertical="center"/>
      <protection/>
    </xf>
    <xf numFmtId="0" fontId="9" fillId="33" borderId="27" xfId="40" applyNumberFormat="1" applyFont="1" applyFill="1" applyBorder="1" applyAlignment="1" applyProtection="1">
      <alignment horizontal="center" vertical="center"/>
      <protection/>
    </xf>
    <xf numFmtId="0" fontId="9" fillId="38" borderId="27" xfId="40" applyNumberFormat="1" applyFont="1" applyFill="1" applyBorder="1" applyAlignment="1" applyProtection="1">
      <alignment horizontal="center" vertical="center"/>
      <protection locked="0"/>
    </xf>
    <xf numFmtId="38" fontId="18" fillId="33" borderId="60" xfId="41" applyNumberFormat="1" applyFont="1" applyFill="1" applyBorder="1" applyAlignment="1" applyProtection="1">
      <alignment/>
      <protection/>
    </xf>
    <xf numFmtId="38" fontId="18" fillId="33" borderId="59" xfId="41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41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7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26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5" fillId="33" borderId="71" xfId="0" applyNumberFormat="1" applyFont="1" applyFill="1" applyBorder="1" applyAlignment="1" applyProtection="1" quotePrefix="1">
      <alignment/>
      <protection/>
    </xf>
    <xf numFmtId="174" fontId="176" fillId="33" borderId="71" xfId="0" applyNumberFormat="1" applyFont="1" applyFill="1" applyBorder="1" applyAlignment="1" applyProtection="1" quotePrefix="1">
      <alignment/>
      <protection/>
    </xf>
    <xf numFmtId="174" fontId="175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5" fillId="33" borderId="116" xfId="0" applyNumberFormat="1" applyFont="1" applyFill="1" applyBorder="1" applyAlignment="1" applyProtection="1" quotePrefix="1">
      <alignment/>
      <protection/>
    </xf>
    <xf numFmtId="174" fontId="175" fillId="26" borderId="32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5" fillId="26" borderId="116" xfId="0" applyNumberFormat="1" applyFont="1" applyFill="1" applyBorder="1" applyAlignment="1" applyProtection="1" quotePrefix="1">
      <alignment/>
      <protection/>
    </xf>
    <xf numFmtId="174" fontId="176" fillId="26" borderId="32" xfId="0" applyNumberFormat="1" applyFont="1" applyFill="1" applyBorder="1" applyAlignment="1" applyProtection="1" quotePrefix="1">
      <alignment/>
      <protection/>
    </xf>
    <xf numFmtId="174" fontId="175" fillId="33" borderId="86" xfId="0" applyNumberFormat="1" applyFont="1" applyFill="1" applyBorder="1" applyAlignment="1" applyProtection="1" quotePrefix="1">
      <alignment/>
      <protection/>
    </xf>
    <xf numFmtId="174" fontId="176" fillId="33" borderId="87" xfId="0" applyNumberFormat="1" applyFont="1" applyFill="1" applyBorder="1" applyAlignment="1" applyProtection="1" quotePrefix="1">
      <alignment/>
      <protection/>
    </xf>
    <xf numFmtId="174" fontId="176" fillId="33" borderId="32" xfId="0" applyNumberFormat="1" applyFont="1" applyFill="1" applyBorder="1" applyAlignment="1" applyProtection="1" quotePrefix="1">
      <alignment/>
      <protection/>
    </xf>
    <xf numFmtId="0" fontId="35" fillId="33" borderId="117" xfId="40" applyFont="1" applyFill="1" applyBorder="1" applyProtection="1">
      <alignment/>
      <protection/>
    </xf>
    <xf numFmtId="0" fontId="35" fillId="33" borderId="43" xfId="40" applyFont="1" applyFill="1" applyBorder="1" applyProtection="1">
      <alignment/>
      <protection/>
    </xf>
    <xf numFmtId="0" fontId="35" fillId="33" borderId="29" xfId="40" applyFont="1" applyFill="1" applyBorder="1" applyProtection="1">
      <alignment/>
      <protection/>
    </xf>
    <xf numFmtId="182" fontId="39" fillId="51" borderId="118" xfId="0" applyNumberFormat="1" applyFont="1" applyFill="1" applyBorder="1" applyAlignment="1" applyProtection="1">
      <alignment horizontal="center"/>
      <protection/>
    </xf>
    <xf numFmtId="182" fontId="40" fillId="42" borderId="118" xfId="0" applyNumberFormat="1" applyFont="1" applyFill="1" applyBorder="1" applyAlignment="1" applyProtection="1">
      <alignment horizontal="center"/>
      <protection/>
    </xf>
    <xf numFmtId="182" fontId="177" fillId="51" borderId="118" xfId="0" applyNumberFormat="1" applyFont="1" applyFill="1" applyBorder="1" applyAlignment="1" applyProtection="1">
      <alignment horizontal="center"/>
      <protection/>
    </xf>
    <xf numFmtId="182" fontId="178" fillId="42" borderId="118" xfId="0" applyNumberFormat="1" applyFont="1" applyFill="1" applyBorder="1" applyAlignment="1" applyProtection="1">
      <alignment horizontal="center"/>
      <protection/>
    </xf>
    <xf numFmtId="182" fontId="39" fillId="52" borderId="118" xfId="0" applyNumberFormat="1" applyFont="1" applyFill="1" applyBorder="1" applyAlignment="1" applyProtection="1">
      <alignment horizontal="center"/>
      <protection/>
    </xf>
    <xf numFmtId="182" fontId="40" fillId="52" borderId="118" xfId="0" applyNumberFormat="1" applyFont="1" applyFill="1" applyBorder="1" applyAlignment="1" applyProtection="1">
      <alignment horizontal="center"/>
      <protection/>
    </xf>
    <xf numFmtId="182" fontId="179" fillId="52" borderId="118" xfId="0" applyNumberFormat="1" applyFont="1" applyFill="1" applyBorder="1" applyAlignment="1" applyProtection="1">
      <alignment horizontal="center"/>
      <protection/>
    </xf>
    <xf numFmtId="182" fontId="178" fillId="52" borderId="118" xfId="0" applyNumberFormat="1" applyFont="1" applyFill="1" applyBorder="1" applyAlignment="1" applyProtection="1">
      <alignment horizontal="center"/>
      <protection/>
    </xf>
    <xf numFmtId="182" fontId="39" fillId="40" borderId="118" xfId="0" applyNumberFormat="1" applyFont="1" applyFill="1" applyBorder="1" applyAlignment="1" applyProtection="1">
      <alignment horizontal="center"/>
      <protection/>
    </xf>
    <xf numFmtId="182" fontId="40" fillId="40" borderId="118" xfId="0" applyNumberFormat="1" applyFont="1" applyFill="1" applyBorder="1" applyAlignment="1" applyProtection="1">
      <alignment horizontal="center"/>
      <protection/>
    </xf>
    <xf numFmtId="182" fontId="180" fillId="40" borderId="118" xfId="0" applyNumberFormat="1" applyFont="1" applyFill="1" applyBorder="1" applyAlignment="1" applyProtection="1">
      <alignment horizontal="center"/>
      <protection/>
    </xf>
    <xf numFmtId="182" fontId="181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7" fillId="38" borderId="119" xfId="0" applyNumberFormat="1" applyFont="1" applyFill="1" applyBorder="1" applyAlignment="1" applyProtection="1">
      <alignment horizontal="center"/>
      <protection/>
    </xf>
    <xf numFmtId="182" fontId="167" fillId="38" borderId="120" xfId="0" applyNumberFormat="1" applyFont="1" applyFill="1" applyBorder="1" applyAlignment="1" applyProtection="1">
      <alignment horizontal="center"/>
      <protection/>
    </xf>
    <xf numFmtId="174" fontId="12" fillId="26" borderId="119" xfId="0" applyNumberFormat="1" applyFont="1" applyFill="1" applyBorder="1" applyAlignment="1" applyProtection="1">
      <alignment horizontal="center"/>
      <protection/>
    </xf>
    <xf numFmtId="174" fontId="34" fillId="26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41" applyNumberFormat="1" applyFont="1" applyFill="1" applyBorder="1" applyAlignment="1" applyProtection="1">
      <alignment/>
      <protection/>
    </xf>
    <xf numFmtId="38" fontId="9" fillId="43" borderId="44" xfId="41" applyNumberFormat="1" applyFont="1" applyFill="1" applyBorder="1" applyAlignment="1" applyProtection="1">
      <alignment/>
      <protection/>
    </xf>
    <xf numFmtId="38" fontId="182" fillId="43" borderId="42" xfId="41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4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4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4" fillId="43" borderId="10" xfId="0" applyNumberFormat="1" applyFont="1" applyFill="1" applyBorder="1" applyAlignment="1" applyProtection="1">
      <alignment/>
      <protection locked="0"/>
    </xf>
    <xf numFmtId="174" fontId="168" fillId="26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37" applyFont="1" applyFill="1" applyBorder="1" applyAlignment="1" applyProtection="1">
      <alignment horizontal="center"/>
      <protection/>
    </xf>
    <xf numFmtId="38" fontId="15" fillId="33" borderId="55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2" xfId="41" applyNumberFormat="1" applyFont="1" applyFill="1" applyBorder="1" applyAlignment="1" applyProtection="1">
      <alignment/>
      <protection/>
    </xf>
    <xf numFmtId="38" fontId="15" fillId="33" borderId="55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2" xfId="41" applyNumberFormat="1" applyFont="1" applyFill="1" applyBorder="1" applyAlignment="1" applyProtection="1">
      <alignment horizontal="left"/>
      <protection/>
    </xf>
    <xf numFmtId="38" fontId="8" fillId="26" borderId="55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84" fontId="4" fillId="26" borderId="56" xfId="0" applyNumberFormat="1" applyFont="1" applyFill="1" applyBorder="1" applyAlignment="1" applyProtection="1">
      <alignment/>
      <protection/>
    </xf>
    <xf numFmtId="184" fontId="3" fillId="26" borderId="56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Border="1" applyAlignment="1" applyProtection="1">
      <alignment horizontal="right"/>
      <protection/>
    </xf>
    <xf numFmtId="184" fontId="3" fillId="26" borderId="121" xfId="0" applyNumberFormat="1" applyFont="1" applyFill="1" applyBorder="1" applyAlignment="1" applyProtection="1">
      <alignment/>
      <protection/>
    </xf>
    <xf numFmtId="38" fontId="8" fillId="26" borderId="116" xfId="41" applyNumberFormat="1" applyFont="1" applyFill="1" applyBorder="1" applyAlignment="1" applyProtection="1">
      <alignment/>
      <protection/>
    </xf>
    <xf numFmtId="184" fontId="4" fillId="26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5" fillId="38" borderId="0" xfId="33" applyFont="1" applyFill="1" applyBorder="1" quotePrefix="1">
      <alignment/>
      <protection/>
    </xf>
    <xf numFmtId="195" fontId="24" fillId="33" borderId="0" xfId="34" applyNumberFormat="1" applyFont="1" applyFill="1" applyBorder="1" applyAlignment="1">
      <alignment/>
      <protection/>
    </xf>
    <xf numFmtId="0" fontId="17" fillId="38" borderId="13" xfId="33" applyFont="1" applyFill="1" applyBorder="1">
      <alignment/>
      <protection/>
    </xf>
    <xf numFmtId="200" fontId="24" fillId="33" borderId="0" xfId="33" applyNumberFormat="1" applyFont="1" applyFill="1" applyBorder="1" applyAlignment="1">
      <alignment horizontal="center"/>
      <protection/>
    </xf>
    <xf numFmtId="0" fontId="155" fillId="26" borderId="68" xfId="33" applyFont="1" applyFill="1" applyBorder="1" quotePrefix="1">
      <alignment/>
      <protection/>
    </xf>
    <xf numFmtId="0" fontId="155" fillId="26" borderId="19" xfId="33" applyFont="1" applyFill="1" applyBorder="1" quotePrefix="1">
      <alignment/>
      <protection/>
    </xf>
    <xf numFmtId="197" fontId="24" fillId="26" borderId="69" xfId="34" applyNumberFormat="1" applyFont="1" applyFill="1" applyBorder="1" applyAlignment="1">
      <alignment/>
      <protection/>
    </xf>
    <xf numFmtId="0" fontId="155" fillId="26" borderId="17" xfId="33" applyFont="1" applyFill="1" applyBorder="1" quotePrefix="1">
      <alignment/>
      <protection/>
    </xf>
    <xf numFmtId="0" fontId="155" fillId="26" borderId="0" xfId="33" applyFont="1" applyFill="1" applyBorder="1" quotePrefix="1">
      <alignment/>
      <protection/>
    </xf>
    <xf numFmtId="197" fontId="24" fillId="26" borderId="18" xfId="34" applyNumberFormat="1" applyFont="1" applyFill="1" applyBorder="1" applyAlignment="1">
      <alignment/>
      <protection/>
    </xf>
    <xf numFmtId="0" fontId="155" fillId="26" borderId="26" xfId="33" applyFont="1" applyFill="1" applyBorder="1" quotePrefix="1">
      <alignment/>
      <protection/>
    </xf>
    <xf numFmtId="0" fontId="155" fillId="26" borderId="20" xfId="33" applyFont="1" applyFill="1" applyBorder="1" quotePrefix="1">
      <alignment/>
      <protection/>
    </xf>
    <xf numFmtId="197" fontId="24" fillId="26" borderId="21" xfId="34" applyNumberFormat="1" applyFont="1" applyFill="1" applyBorder="1" applyAlignment="1">
      <alignment/>
      <protection/>
    </xf>
    <xf numFmtId="0" fontId="155" fillId="45" borderId="68" xfId="33" applyFont="1" applyFill="1" applyBorder="1" quotePrefix="1">
      <alignment/>
      <protection/>
    </xf>
    <xf numFmtId="0" fontId="155" fillId="45" borderId="19" xfId="33" applyFont="1" applyFill="1" applyBorder="1" quotePrefix="1">
      <alignment/>
      <protection/>
    </xf>
    <xf numFmtId="197" fontId="24" fillId="45" borderId="69" xfId="34" applyNumberFormat="1" applyFont="1" applyFill="1" applyBorder="1" applyAlignment="1">
      <alignment/>
      <protection/>
    </xf>
    <xf numFmtId="0" fontId="155" fillId="45" borderId="17" xfId="33" applyFont="1" applyFill="1" applyBorder="1" quotePrefix="1">
      <alignment/>
      <protection/>
    </xf>
    <xf numFmtId="0" fontId="155" fillId="45" borderId="0" xfId="33" applyFont="1" applyFill="1" applyBorder="1" quotePrefix="1">
      <alignment/>
      <protection/>
    </xf>
    <xf numFmtId="197" fontId="24" fillId="45" borderId="18" xfId="34" applyNumberFormat="1" applyFont="1" applyFill="1" applyBorder="1" applyAlignment="1">
      <alignment/>
      <protection/>
    </xf>
    <xf numFmtId="0" fontId="155" fillId="45" borderId="26" xfId="33" applyFont="1" applyFill="1" applyBorder="1" quotePrefix="1">
      <alignment/>
      <protection/>
    </xf>
    <xf numFmtId="0" fontId="155" fillId="45" borderId="20" xfId="33" applyFont="1" applyFill="1" applyBorder="1" quotePrefix="1">
      <alignment/>
      <protection/>
    </xf>
    <xf numFmtId="197" fontId="24" fillId="45" borderId="21" xfId="34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38" fontId="9" fillId="33" borderId="43" xfId="41" applyNumberFormat="1" applyFont="1" applyFill="1" applyBorder="1" applyAlignment="1" applyProtection="1">
      <alignment/>
      <protection/>
    </xf>
    <xf numFmtId="38" fontId="9" fillId="33" borderId="29" xfId="41" applyNumberFormat="1" applyFont="1" applyFill="1" applyBorder="1" applyAlignment="1" applyProtection="1">
      <alignment/>
      <protection/>
    </xf>
    <xf numFmtId="180" fontId="183" fillId="39" borderId="27" xfId="0" applyNumberFormat="1" applyFont="1" applyFill="1" applyBorder="1" applyAlignment="1" applyProtection="1">
      <alignment horizontal="center"/>
      <protection/>
    </xf>
    <xf numFmtId="180" fontId="184" fillId="39" borderId="27" xfId="0" applyNumberFormat="1" applyFont="1" applyFill="1" applyBorder="1" applyAlignment="1" applyProtection="1">
      <alignment horizontal="center"/>
      <protection/>
    </xf>
    <xf numFmtId="191" fontId="159" fillId="39" borderId="27" xfId="0" applyNumberFormat="1" applyFont="1" applyFill="1" applyBorder="1" applyAlignment="1" applyProtection="1" quotePrefix="1">
      <alignment horizontal="center"/>
      <protection/>
    </xf>
    <xf numFmtId="179" fontId="160" fillId="41" borderId="27" xfId="0" applyNumberFormat="1" applyFont="1" applyFill="1" applyBorder="1" applyAlignment="1" applyProtection="1" quotePrefix="1">
      <alignment horizontal="center"/>
      <protection/>
    </xf>
    <xf numFmtId="191" fontId="165" fillId="41" borderId="27" xfId="0" applyNumberFormat="1" applyFont="1" applyFill="1" applyBorder="1" applyAlignment="1" applyProtection="1" quotePrefix="1">
      <alignment horizontal="center"/>
      <protection/>
    </xf>
    <xf numFmtId="179" fontId="165" fillId="41" borderId="27" xfId="0" applyNumberFormat="1" applyFont="1" applyFill="1" applyBorder="1" applyAlignment="1" applyProtection="1" quotePrefix="1">
      <alignment horizontal="center"/>
      <protection/>
    </xf>
    <xf numFmtId="179" fontId="172" fillId="49" borderId="27" xfId="0" applyNumberFormat="1" applyFont="1" applyFill="1" applyBorder="1" applyAlignment="1" applyProtection="1" quotePrefix="1">
      <alignment horizontal="center"/>
      <protection/>
    </xf>
    <xf numFmtId="191" fontId="166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5" fillId="48" borderId="28" xfId="41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26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4" fillId="33" borderId="0" xfId="34" applyNumberFormat="1" applyFont="1" applyFill="1" applyBorder="1" applyAlignment="1">
      <alignment/>
      <protection/>
    </xf>
    <xf numFmtId="177" fontId="24" fillId="33" borderId="0" xfId="33" applyNumberFormat="1" applyFont="1" applyFill="1" applyBorder="1" applyAlignment="1">
      <alignment/>
      <protection/>
    </xf>
    <xf numFmtId="179" fontId="24" fillId="33" borderId="0" xfId="33" applyNumberFormat="1" applyFont="1" applyFill="1" applyBorder="1" applyAlignment="1">
      <alignment/>
      <protection/>
    </xf>
    <xf numFmtId="179" fontId="24" fillId="26" borderId="0" xfId="33" applyNumberFormat="1" applyFont="1" applyFill="1" applyBorder="1" applyAlignment="1">
      <alignment horizontal="center"/>
      <protection/>
    </xf>
    <xf numFmtId="195" fontId="19" fillId="54" borderId="19" xfId="34" applyNumberFormat="1" applyFont="1" applyFill="1" applyBorder="1" applyAlignment="1">
      <alignment/>
      <protection/>
    </xf>
    <xf numFmtId="195" fontId="19" fillId="54" borderId="69" xfId="34" applyNumberFormat="1" applyFont="1" applyFill="1" applyBorder="1" applyAlignment="1">
      <alignment/>
      <protection/>
    </xf>
    <xf numFmtId="195" fontId="19" fillId="54" borderId="20" xfId="34" applyNumberFormat="1" applyFont="1" applyFill="1" applyBorder="1" applyAlignment="1">
      <alignment/>
      <protection/>
    </xf>
    <xf numFmtId="195" fontId="19" fillId="54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11" fontId="186" fillId="39" borderId="102" xfId="0" applyNumberFormat="1" applyFont="1" applyFill="1" applyBorder="1" applyAlignment="1" applyProtection="1" quotePrefix="1">
      <alignment horizontal="center"/>
      <protection/>
    </xf>
    <xf numFmtId="211" fontId="160" fillId="41" borderId="102" xfId="0" applyNumberFormat="1" applyFont="1" applyFill="1" applyBorder="1" applyAlignment="1" applyProtection="1" quotePrefix="1">
      <alignment horizontal="center"/>
      <protection/>
    </xf>
    <xf numFmtId="211" fontId="172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7" fillId="26" borderId="45" xfId="0" applyNumberFormat="1" applyFont="1" applyFill="1" applyBorder="1" applyAlignment="1" applyProtection="1">
      <alignment horizontal="center"/>
      <protection locked="0"/>
    </xf>
    <xf numFmtId="211" fontId="186" fillId="39" borderId="27" xfId="0" applyNumberFormat="1" applyFont="1" applyFill="1" applyBorder="1" applyAlignment="1" applyProtection="1">
      <alignment horizontal="center"/>
      <protection/>
    </xf>
    <xf numFmtId="211" fontId="160" fillId="41" borderId="27" xfId="0" applyNumberFormat="1" applyFont="1" applyFill="1" applyBorder="1" applyAlignment="1" applyProtection="1" quotePrefix="1">
      <alignment horizontal="center"/>
      <protection/>
    </xf>
    <xf numFmtId="211" fontId="172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8" fillId="33" borderId="45" xfId="0" applyNumberFormat="1" applyFont="1" applyFill="1" applyBorder="1" applyAlignment="1" applyProtection="1">
      <alignment horizontal="center"/>
      <protection/>
    </xf>
    <xf numFmtId="0" fontId="8" fillId="40" borderId="131" xfId="33" applyFont="1" applyFill="1" applyBorder="1">
      <alignment/>
      <protection/>
    </xf>
    <xf numFmtId="0" fontId="9" fillId="40" borderId="132" xfId="33" applyFont="1" applyFill="1" applyBorder="1">
      <alignment/>
      <protection/>
    </xf>
    <xf numFmtId="176" fontId="69" fillId="26" borderId="0" xfId="33" applyNumberFormat="1" applyFont="1" applyFill="1" applyBorder="1" applyAlignment="1">
      <alignment horizontal="left"/>
      <protection/>
    </xf>
    <xf numFmtId="176" fontId="70" fillId="45" borderId="0" xfId="33" applyNumberFormat="1" applyFont="1" applyFill="1" applyBorder="1" applyAlignment="1">
      <alignment horizontal="center"/>
      <protection/>
    </xf>
    <xf numFmtId="179" fontId="70" fillId="45" borderId="0" xfId="33" applyNumberFormat="1" applyFont="1" applyFill="1" applyBorder="1" applyAlignment="1">
      <alignment horizontal="center"/>
      <protection/>
    </xf>
    <xf numFmtId="179" fontId="69" fillId="26" borderId="0" xfId="33" applyNumberFormat="1" applyFont="1" applyFill="1" applyBorder="1" applyAlignment="1">
      <alignment horizontal="center"/>
      <protection/>
    </xf>
    <xf numFmtId="176" fontId="69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69" fillId="33" borderId="0" xfId="33" applyNumberFormat="1" applyFont="1" applyFill="1" applyBorder="1" applyAlignment="1">
      <alignment/>
      <protection/>
    </xf>
    <xf numFmtId="179" fontId="69" fillId="45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195" fontId="69" fillId="33" borderId="0" xfId="34" applyNumberFormat="1" applyFont="1" applyFill="1" applyBorder="1" applyAlignment="1">
      <alignment/>
      <protection/>
    </xf>
    <xf numFmtId="195" fontId="9" fillId="33" borderId="0" xfId="34" applyNumberFormat="1" applyFont="1" applyFill="1" applyBorder="1" applyAlignment="1">
      <alignment horizontal="left"/>
      <protection/>
    </xf>
    <xf numFmtId="177" fontId="69" fillId="33" borderId="0" xfId="33" applyNumberFormat="1" applyFont="1" applyFill="1" applyBorder="1" applyAlignment="1">
      <alignment/>
      <protection/>
    </xf>
    <xf numFmtId="200" fontId="69" fillId="33" borderId="0" xfId="33" applyNumberFormat="1" applyFont="1" applyFill="1" applyBorder="1" applyAlignment="1">
      <alignment horizontal="center"/>
      <protection/>
    </xf>
    <xf numFmtId="0" fontId="9" fillId="45" borderId="68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197" fontId="69" fillId="45" borderId="69" xfId="34" applyNumberFormat="1" applyFont="1" applyFill="1" applyBorder="1" applyAlignment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197" fontId="69" fillId="45" borderId="18" xfId="34" applyNumberFormat="1" applyFont="1" applyFill="1" applyBorder="1" applyAlignment="1">
      <alignment/>
      <protection/>
    </xf>
    <xf numFmtId="0" fontId="9" fillId="45" borderId="26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97" fontId="69" fillId="45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195" fontId="19" fillId="54" borderId="19" xfId="34" applyNumberFormat="1" applyFont="1" applyFill="1" applyBorder="1" applyAlignment="1">
      <alignment/>
      <protection/>
    </xf>
    <xf numFmtId="195" fontId="19" fillId="54" borderId="69" xfId="34" applyNumberFormat="1" applyFont="1" applyFill="1" applyBorder="1" applyAlignment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195" fontId="19" fillId="54" borderId="20" xfId="34" applyNumberFormat="1" applyFont="1" applyFill="1" applyBorder="1" applyAlignment="1">
      <alignment/>
      <protection/>
    </xf>
    <xf numFmtId="195" fontId="19" fillId="54" borderId="21" xfId="34" applyNumberFormat="1" applyFont="1" applyFill="1" applyBorder="1" applyAlignment="1">
      <alignment/>
      <protection/>
    </xf>
    <xf numFmtId="195" fontId="9" fillId="33" borderId="0" xfId="34" applyNumberFormat="1" applyFont="1" applyFill="1" applyBorder="1" applyAlignment="1">
      <alignment/>
      <protection/>
    </xf>
    <xf numFmtId="201" fontId="6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79" fontId="24" fillId="45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>
      <alignment/>
      <protection/>
    </xf>
    <xf numFmtId="0" fontId="8" fillId="26" borderId="68" xfId="33" applyFont="1" applyFill="1" applyBorder="1">
      <alignment/>
      <protection/>
    </xf>
    <xf numFmtId="178" fontId="19" fillId="26" borderId="69" xfId="33" applyNumberFormat="1" applyFont="1" applyFill="1" applyBorder="1" applyAlignment="1">
      <alignment horizontal="center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8" fillId="26" borderId="26" xfId="33" applyFont="1" applyFill="1" applyBorder="1">
      <alignment/>
      <protection/>
    </xf>
    <xf numFmtId="178" fontId="69" fillId="38" borderId="0" xfId="33" applyNumberFormat="1" applyFont="1" applyFill="1" applyBorder="1" applyAlignment="1">
      <alignment/>
      <protection/>
    </xf>
    <xf numFmtId="210" fontId="69" fillId="33" borderId="0" xfId="34" applyNumberFormat="1" applyFont="1" applyFill="1" applyBorder="1" applyAlignment="1">
      <alignment/>
      <protection/>
    </xf>
    <xf numFmtId="0" fontId="9" fillId="26" borderId="68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69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69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69" fillId="26" borderId="0" xfId="33" applyNumberFormat="1" applyFont="1" applyFill="1" applyBorder="1">
      <alignment/>
      <protection/>
    </xf>
    <xf numFmtId="0" fontId="9" fillId="26" borderId="26" xfId="33" applyFont="1" applyFill="1" applyBorder="1">
      <alignment/>
      <protection/>
    </xf>
    <xf numFmtId="177" fontId="69" fillId="26" borderId="20" xfId="33" applyNumberFormat="1" applyFont="1" applyFill="1" applyBorder="1">
      <alignment/>
      <protection/>
    </xf>
    <xf numFmtId="176" fontId="69" fillId="26" borderId="20" xfId="33" applyNumberFormat="1" applyFont="1" applyFill="1" applyBorder="1" applyAlignment="1">
      <alignment horizontal="left"/>
      <protection/>
    </xf>
    <xf numFmtId="200" fontId="69" fillId="33" borderId="0" xfId="33" applyNumberFormat="1" applyFont="1" applyFill="1" applyBorder="1" applyAlignment="1">
      <alignment horizontal="center"/>
      <protection/>
    </xf>
    <xf numFmtId="202" fontId="59" fillId="26" borderId="19" xfId="34" applyNumberFormat="1" applyFont="1" applyFill="1" applyBorder="1" applyAlignment="1">
      <alignment horizontal="center"/>
      <protection/>
    </xf>
    <xf numFmtId="179" fontId="69" fillId="26" borderId="0" xfId="33" applyNumberFormat="1" applyFont="1" applyFill="1" applyBorder="1" applyAlignment="1">
      <alignment horizontal="center"/>
      <protection/>
    </xf>
    <xf numFmtId="177" fontId="69" fillId="33" borderId="0" xfId="33" applyNumberFormat="1" applyFont="1" applyFill="1" applyBorder="1" applyAlignment="1">
      <alignment horizontal="center"/>
      <protection/>
    </xf>
    <xf numFmtId="198" fontId="59" fillId="45" borderId="0" xfId="34" applyNumberFormat="1" applyFont="1" applyFill="1" applyBorder="1" applyAlignment="1">
      <alignment horizontal="center"/>
      <protection/>
    </xf>
    <xf numFmtId="203" fontId="59" fillId="26" borderId="0" xfId="34" applyNumberFormat="1" applyFont="1" applyFill="1" applyBorder="1" applyAlignment="1">
      <alignment horizontal="center"/>
      <protection/>
    </xf>
    <xf numFmtId="204" fontId="59" fillId="26" borderId="20" xfId="34" applyNumberFormat="1" applyFont="1" applyFill="1" applyBorder="1" applyAlignment="1">
      <alignment horizontal="center"/>
      <protection/>
    </xf>
    <xf numFmtId="195" fontId="69" fillId="33" borderId="0" xfId="34" applyNumberFormat="1" applyFont="1" applyFill="1" applyBorder="1" applyAlignment="1">
      <alignment horizontal="center"/>
      <protection/>
    </xf>
    <xf numFmtId="195" fontId="69" fillId="45" borderId="0" xfId="34" applyNumberFormat="1" applyFont="1" applyFill="1" applyBorder="1" applyAlignment="1">
      <alignment horizontal="center"/>
      <protection/>
    </xf>
    <xf numFmtId="177" fontId="24" fillId="33" borderId="0" xfId="33" applyNumberFormat="1" applyFont="1" applyFill="1" applyBorder="1" applyAlignment="1">
      <alignment horizontal="left"/>
      <protection/>
    </xf>
    <xf numFmtId="203" fontId="59" fillId="45" borderId="0" xfId="34" applyNumberFormat="1" applyFont="1" applyFill="1" applyBorder="1" applyAlignment="1">
      <alignment horizontal="center"/>
      <protection/>
    </xf>
    <xf numFmtId="204" fontId="59" fillId="45" borderId="20" xfId="34" applyNumberFormat="1" applyFont="1" applyFill="1" applyBorder="1" applyAlignment="1">
      <alignment horizontal="center"/>
      <protection/>
    </xf>
    <xf numFmtId="202" fontId="59" fillId="45" borderId="19" xfId="34" applyNumberFormat="1" applyFont="1" applyFill="1" applyBorder="1" applyAlignment="1">
      <alignment horizontal="center"/>
      <protection/>
    </xf>
    <xf numFmtId="177" fontId="69" fillId="33" borderId="0" xfId="33" applyNumberFormat="1" applyFont="1" applyFill="1" applyBorder="1" applyAlignment="1">
      <alignment horizontal="left"/>
      <protection/>
    </xf>
    <xf numFmtId="210" fontId="24" fillId="33" borderId="0" xfId="34" applyNumberFormat="1" applyFont="1" applyFill="1" applyBorder="1" applyAlignment="1">
      <alignment horizontal="center"/>
      <protection/>
    </xf>
    <xf numFmtId="179" fontId="69" fillId="45" borderId="0" xfId="33" applyNumberFormat="1" applyFont="1" applyFill="1" applyBorder="1" applyAlignment="1">
      <alignment horizontal="center"/>
      <protection/>
    </xf>
    <xf numFmtId="195" fontId="69" fillId="26" borderId="0" xfId="34" applyNumberFormat="1" applyFont="1" applyFill="1" applyBorder="1" applyAlignment="1">
      <alignment horizontal="center"/>
      <protection/>
    </xf>
    <xf numFmtId="197" fontId="59" fillId="45" borderId="19" xfId="34" applyNumberFormat="1" applyFont="1" applyFill="1" applyBorder="1" applyAlignment="1">
      <alignment horizontal="center"/>
      <protection/>
    </xf>
    <xf numFmtId="199" fontId="59" fillId="26" borderId="20" xfId="34" applyNumberFormat="1" applyFont="1" applyFill="1" applyBorder="1" applyAlignment="1">
      <alignment horizontal="center"/>
      <protection/>
    </xf>
    <xf numFmtId="193" fontId="8" fillId="40" borderId="132" xfId="34" applyNumberFormat="1" applyFont="1" applyFill="1" applyBorder="1" applyAlignment="1">
      <alignment horizontal="center"/>
      <protection/>
    </xf>
    <xf numFmtId="179" fontId="69" fillId="33" borderId="0" xfId="33" applyNumberFormat="1" applyFont="1" applyFill="1" applyBorder="1" applyAlignment="1">
      <alignment horizontal="center"/>
      <protection/>
    </xf>
    <xf numFmtId="177" fontId="69" fillId="45" borderId="0" xfId="33" applyNumberFormat="1" applyFont="1" applyFill="1" applyBorder="1" applyAlignment="1">
      <alignment horizontal="center"/>
      <protection/>
    </xf>
    <xf numFmtId="178" fontId="69" fillId="38" borderId="0" xfId="33" applyNumberFormat="1" applyFont="1" applyFill="1" applyBorder="1" applyAlignment="1">
      <alignment horizontal="left"/>
      <protection/>
    </xf>
    <xf numFmtId="199" fontId="59" fillId="45" borderId="20" xfId="34" applyNumberFormat="1" applyFont="1" applyFill="1" applyBorder="1" applyAlignment="1">
      <alignment horizontal="center"/>
      <protection/>
    </xf>
    <xf numFmtId="197" fontId="59" fillId="26" borderId="19" xfId="34" applyNumberFormat="1" applyFont="1" applyFill="1" applyBorder="1" applyAlignment="1">
      <alignment horizontal="center"/>
      <protection/>
    </xf>
    <xf numFmtId="198" fontId="59" fillId="26" borderId="0" xfId="34" applyNumberFormat="1" applyFont="1" applyFill="1" applyBorder="1" applyAlignment="1">
      <alignment horizontal="center"/>
      <protection/>
    </xf>
    <xf numFmtId="179" fontId="24" fillId="26" borderId="0" xfId="33" applyNumberFormat="1" applyFont="1" applyFill="1" applyBorder="1" applyAlignment="1">
      <alignment horizontal="center"/>
      <protection/>
    </xf>
    <xf numFmtId="176" fontId="69" fillId="26" borderId="0" xfId="33" applyNumberFormat="1" applyFont="1" applyFill="1" applyBorder="1" applyAlignment="1">
      <alignment horizontal="center"/>
      <protection/>
    </xf>
    <xf numFmtId="178" fontId="69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69" fillId="38" borderId="0" xfId="33" applyNumberFormat="1" applyFont="1" applyFill="1" applyBorder="1" applyAlignment="1">
      <alignment horizontal="center"/>
      <protection/>
    </xf>
    <xf numFmtId="0" fontId="189" fillId="55" borderId="0" xfId="39" applyFont="1" applyFill="1" applyBorder="1" applyAlignment="1">
      <alignment horizontal="center"/>
      <protection/>
    </xf>
    <xf numFmtId="208" fontId="190" fillId="55" borderId="0" xfId="39" applyNumberFormat="1" applyFont="1" applyFill="1" applyBorder="1" applyAlignment="1">
      <alignment horizontal="center"/>
      <protection/>
    </xf>
    <xf numFmtId="177" fontId="24" fillId="33" borderId="0" xfId="33" applyNumberFormat="1" applyFont="1" applyFill="1" applyBorder="1" applyAlignment="1">
      <alignment horizontal="center"/>
      <protection/>
    </xf>
    <xf numFmtId="210" fontId="24" fillId="33" borderId="0" xfId="34" applyNumberFormat="1" applyFont="1" applyFill="1" applyBorder="1" applyAlignment="1">
      <alignment horizontal="left"/>
      <protection/>
    </xf>
    <xf numFmtId="206" fontId="191" fillId="48" borderId="43" xfId="41" applyNumberFormat="1" applyFont="1" applyFill="1" applyBorder="1" applyAlignment="1" applyProtection="1">
      <alignment horizontal="left"/>
      <protection/>
    </xf>
    <xf numFmtId="206" fontId="191" fillId="48" borderId="29" xfId="41" applyNumberFormat="1" applyFont="1" applyFill="1" applyBorder="1" applyAlignment="1" applyProtection="1">
      <alignment horizontal="left"/>
      <protection/>
    </xf>
    <xf numFmtId="0" fontId="190" fillId="55" borderId="0" xfId="33" applyFont="1" applyFill="1" applyAlignment="1" applyProtection="1" quotePrefix="1">
      <alignment horizontal="center"/>
      <protection/>
    </xf>
    <xf numFmtId="209" fontId="190" fillId="55" borderId="0" xfId="33" applyNumberFormat="1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192" fillId="33" borderId="47" xfId="41" applyNumberFormat="1" applyFont="1" applyFill="1" applyBorder="1" applyAlignment="1" applyProtection="1">
      <alignment horizontal="center"/>
      <protection/>
    </xf>
    <xf numFmtId="38" fontId="192" fillId="33" borderId="4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 wrapText="1"/>
      <protection/>
    </xf>
    <xf numFmtId="38" fontId="192" fillId="33" borderId="49" xfId="41" applyNumberFormat="1" applyFont="1" applyFill="1" applyBorder="1" applyAlignment="1" applyProtection="1">
      <alignment horizontal="center"/>
      <protection/>
    </xf>
    <xf numFmtId="38" fontId="192" fillId="33" borderId="50" xfId="41" applyNumberFormat="1" applyFont="1" applyFill="1" applyBorder="1" applyAlignment="1" applyProtection="1">
      <alignment horizontal="center"/>
      <protection/>
    </xf>
    <xf numFmtId="0" fontId="4" fillId="33" borderId="66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39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187" fontId="153" fillId="33" borderId="28" xfId="38" applyNumberFormat="1" applyFont="1" applyFill="1" applyBorder="1" applyAlignment="1" applyProtection="1" quotePrefix="1">
      <alignment horizontal="center" vertical="center"/>
      <protection locked="0"/>
    </xf>
    <xf numFmtId="187" fontId="153" fillId="33" borderId="29" xfId="38" applyNumberFormat="1" applyFont="1" applyFill="1" applyBorder="1" applyAlignment="1" applyProtection="1" quotePrefix="1">
      <alignment horizontal="center" vertical="center"/>
      <protection locked="0"/>
    </xf>
    <xf numFmtId="0" fontId="152" fillId="36" borderId="28" xfId="71" applyFill="1" applyBorder="1" applyAlignment="1" applyProtection="1">
      <alignment horizontal="center" vertical="center"/>
      <protection locked="0"/>
    </xf>
    <xf numFmtId="0" fontId="193" fillId="36" borderId="43" xfId="71" applyFont="1" applyFill="1" applyBorder="1" applyAlignment="1" applyProtection="1">
      <alignment horizontal="center" vertical="center"/>
      <protection locked="0"/>
    </xf>
    <xf numFmtId="0" fontId="193" fillId="36" borderId="29" xfId="71" applyFont="1" applyFill="1" applyBorder="1" applyAlignment="1" applyProtection="1">
      <alignment horizontal="center" vertical="center"/>
      <protection locked="0"/>
    </xf>
    <xf numFmtId="38" fontId="152" fillId="33" borderId="28" xfId="71" applyNumberFormat="1" applyFill="1" applyBorder="1" applyAlignment="1" applyProtection="1">
      <alignment horizontal="center" vertical="center"/>
      <protection locked="0"/>
    </xf>
    <xf numFmtId="38" fontId="194" fillId="33" borderId="43" xfId="71" applyNumberFormat="1" applyFont="1" applyFill="1" applyBorder="1" applyAlignment="1" applyProtection="1">
      <alignment horizontal="center" vertical="center"/>
      <protection locked="0"/>
    </xf>
    <xf numFmtId="38" fontId="194" fillId="33" borderId="29" xfId="71" applyNumberFormat="1" applyFont="1" applyFill="1" applyBorder="1" applyAlignment="1" applyProtection="1">
      <alignment horizontal="center" vertical="center"/>
      <protection locked="0"/>
    </xf>
    <xf numFmtId="0" fontId="195" fillId="26" borderId="0" xfId="36" applyFont="1" applyFill="1" applyBorder="1" applyAlignment="1" applyProtection="1">
      <alignment horizontal="center"/>
      <protection/>
    </xf>
    <xf numFmtId="185" fontId="160" fillId="33" borderId="28" xfId="36" applyNumberFormat="1" applyFont="1" applyFill="1" applyBorder="1" applyAlignment="1" applyProtection="1">
      <alignment horizontal="center"/>
      <protection/>
    </xf>
    <xf numFmtId="185" fontId="160" fillId="33" borderId="43" xfId="36" applyNumberFormat="1" applyFont="1" applyFill="1" applyBorder="1" applyAlignment="1" applyProtection="1">
      <alignment horizontal="center"/>
      <protection/>
    </xf>
    <xf numFmtId="185" fontId="160" fillId="33" borderId="29" xfId="36" applyNumberFormat="1" applyFont="1" applyFill="1" applyBorder="1" applyAlignment="1" applyProtection="1">
      <alignment horizontal="center"/>
      <protection/>
    </xf>
    <xf numFmtId="0" fontId="56" fillId="50" borderId="133" xfId="40" applyFont="1" applyFill="1" applyBorder="1" applyAlignment="1" applyProtection="1" quotePrefix="1">
      <alignment horizontal="center" wrapText="1"/>
      <protection locked="0"/>
    </xf>
    <xf numFmtId="0" fontId="56" fillId="50" borderId="53" xfId="40" applyFont="1" applyFill="1" applyBorder="1" applyAlignment="1" applyProtection="1">
      <alignment horizontal="center" wrapText="1"/>
      <protection locked="0"/>
    </xf>
    <xf numFmtId="0" fontId="56" fillId="50" borderId="134" xfId="40" applyFont="1" applyFill="1" applyBorder="1" applyAlignment="1" applyProtection="1">
      <alignment horizontal="center" wrapText="1"/>
      <protection locked="0"/>
    </xf>
    <xf numFmtId="0" fontId="196" fillId="26" borderId="45" xfId="33" applyFont="1" applyFill="1" applyBorder="1" applyAlignment="1" applyProtection="1" quotePrefix="1">
      <alignment horizontal="center"/>
      <protection/>
    </xf>
    <xf numFmtId="0" fontId="197" fillId="38" borderId="26" xfId="40" applyFont="1" applyFill="1" applyBorder="1" applyAlignment="1" applyProtection="1">
      <alignment horizontal="center" vertical="center" wrapText="1"/>
      <protection locked="0"/>
    </xf>
    <xf numFmtId="0" fontId="197" fillId="38" borderId="20" xfId="40" applyFont="1" applyFill="1" applyBorder="1" applyAlignment="1" applyProtection="1">
      <alignment horizontal="center" vertical="center" wrapText="1"/>
      <protection locked="0"/>
    </xf>
    <xf numFmtId="0" fontId="197" fillId="38" borderId="21" xfId="40" applyFont="1" applyFill="1" applyBorder="1" applyAlignment="1" applyProtection="1">
      <alignment horizontal="center" vertical="center" wrapText="1"/>
      <protection locked="0"/>
    </xf>
    <xf numFmtId="0" fontId="198" fillId="33" borderId="61" xfId="37" applyFont="1" applyFill="1" applyBorder="1" applyAlignment="1" applyProtection="1">
      <alignment horizontal="center"/>
      <protection/>
    </xf>
    <xf numFmtId="0" fontId="198" fillId="33" borderId="0" xfId="37" applyFont="1" applyFill="1" applyBorder="1" applyAlignment="1" applyProtection="1">
      <alignment horizontal="center"/>
      <protection/>
    </xf>
    <xf numFmtId="0" fontId="198" fillId="33" borderId="30" xfId="37" applyFont="1" applyFill="1" applyBorder="1" applyAlignment="1" applyProtection="1">
      <alignment horizontal="center"/>
      <protection/>
    </xf>
    <xf numFmtId="0" fontId="169" fillId="48" borderId="116" xfId="37" applyFont="1" applyFill="1" applyBorder="1" applyAlignment="1" applyProtection="1">
      <alignment horizont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0" fontId="17" fillId="50" borderId="17" xfId="40" applyFont="1" applyFill="1" applyBorder="1" applyAlignment="1" applyProtection="1">
      <alignment horizontal="center" vertical="top"/>
      <protection/>
    </xf>
    <xf numFmtId="0" fontId="17" fillId="50" borderId="0" xfId="40" applyFont="1" applyFill="1" applyBorder="1" applyAlignment="1" applyProtection="1">
      <alignment horizontal="center" vertical="top"/>
      <protection/>
    </xf>
    <xf numFmtId="0" fontId="17" fillId="50" borderId="18" xfId="40" applyFont="1" applyFill="1" applyBorder="1" applyAlignment="1" applyProtection="1">
      <alignment horizontal="center" vertical="top"/>
      <protection/>
    </xf>
    <xf numFmtId="185" fontId="199" fillId="26" borderId="0" xfId="36" applyNumberFormat="1" applyFont="1" applyFill="1" applyBorder="1" applyAlignment="1" applyProtection="1">
      <alignment horizontal="center"/>
      <protection/>
    </xf>
    <xf numFmtId="0" fontId="153" fillId="26" borderId="0" xfId="33" applyFont="1" applyFill="1" applyAlignment="1" applyProtection="1" quotePrefix="1">
      <alignment horizontal="center"/>
      <protection/>
    </xf>
    <xf numFmtId="38" fontId="9" fillId="33" borderId="63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38" fontId="9" fillId="33" borderId="57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24" fillId="54" borderId="42" xfId="41" applyNumberFormat="1" applyFont="1" applyFill="1" applyBorder="1" applyAlignment="1" applyProtection="1">
      <alignment horizontal="center"/>
      <protection/>
    </xf>
    <xf numFmtId="38" fontId="24" fillId="54" borderId="43" xfId="41" applyNumberFormat="1" applyFont="1" applyFill="1" applyBorder="1" applyAlignment="1" applyProtection="1">
      <alignment horizontal="center"/>
      <protection/>
    </xf>
    <xf numFmtId="38" fontId="24" fillId="54" borderId="44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38" fontId="8" fillId="45" borderId="42" xfId="41" applyNumberFormat="1" applyFont="1" applyFill="1" applyBorder="1" applyAlignment="1" applyProtection="1">
      <alignment horizontal="center"/>
      <protection/>
    </xf>
    <xf numFmtId="38" fontId="8" fillId="45" borderId="43" xfId="41" applyNumberFormat="1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38" fontId="24" fillId="43" borderId="51" xfId="41" applyNumberFormat="1" applyFont="1" applyFill="1" applyBorder="1" applyAlignment="1" applyProtection="1">
      <alignment horizontal="center"/>
      <protection/>
    </xf>
    <xf numFmtId="38" fontId="24" fillId="43" borderId="53" xfId="41" applyNumberFormat="1" applyFont="1" applyFill="1" applyBorder="1" applyAlignment="1" applyProtection="1">
      <alignment horizontal="center"/>
      <protection/>
    </xf>
    <xf numFmtId="38" fontId="24" fillId="43" borderId="54" xfId="41" applyNumberFormat="1" applyFont="1" applyFill="1" applyBorder="1" applyAlignment="1" applyProtection="1">
      <alignment horizontal="center"/>
      <protection/>
    </xf>
    <xf numFmtId="38" fontId="24" fillId="43" borderId="59" xfId="41" applyNumberFormat="1" applyFont="1" applyFill="1" applyBorder="1" applyAlignment="1" applyProtection="1">
      <alignment horizontal="center"/>
      <protection/>
    </xf>
    <xf numFmtId="38" fontId="24" fillId="43" borderId="47" xfId="41" applyNumberFormat="1" applyFont="1" applyFill="1" applyBorder="1" applyAlignment="1" applyProtection="1">
      <alignment horizontal="center"/>
      <protection/>
    </xf>
    <xf numFmtId="38" fontId="24" fillId="43" borderId="48" xfId="41" applyNumberFormat="1" applyFont="1" applyFill="1" applyBorder="1" applyAlignment="1" applyProtection="1">
      <alignment horizontal="center"/>
      <protection/>
    </xf>
    <xf numFmtId="38" fontId="24" fillId="43" borderId="60" xfId="41" applyNumberFormat="1" applyFont="1" applyFill="1" applyBorder="1" applyAlignment="1" applyProtection="1">
      <alignment horizontal="center"/>
      <protection/>
    </xf>
    <xf numFmtId="38" fontId="24" fillId="43" borderId="49" xfId="41" applyNumberFormat="1" applyFont="1" applyFill="1" applyBorder="1" applyAlignment="1" applyProtection="1">
      <alignment horizontal="center"/>
      <protection/>
    </xf>
    <xf numFmtId="38" fontId="24" fillId="43" borderId="50" xfId="41" applyNumberFormat="1" applyFont="1" applyFill="1" applyBorder="1" applyAlignment="1" applyProtection="1">
      <alignment horizontal="center"/>
      <protection/>
    </xf>
    <xf numFmtId="0" fontId="4" fillId="39" borderId="64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0" fontId="4" fillId="39" borderId="41" xfId="36" applyFont="1" applyFill="1" applyBorder="1" applyAlignment="1" applyProtection="1">
      <alignment horizontal="center"/>
      <protection/>
    </xf>
    <xf numFmtId="0" fontId="4" fillId="47" borderId="64" xfId="36" applyFont="1" applyFill="1" applyBorder="1" applyAlignment="1" applyProtection="1" quotePrefix="1">
      <alignment horizontal="center"/>
      <protection/>
    </xf>
    <xf numFmtId="0" fontId="4" fillId="47" borderId="40" xfId="36" applyFont="1" applyFill="1" applyBorder="1" applyAlignment="1" applyProtection="1" quotePrefix="1">
      <alignment horizontal="center"/>
      <protection/>
    </xf>
    <xf numFmtId="0" fontId="4" fillId="47" borderId="41" xfId="36" applyFont="1" applyFill="1" applyBorder="1" applyAlignment="1" applyProtection="1" quotePrefix="1">
      <alignment horizontal="center"/>
      <protection/>
    </xf>
    <xf numFmtId="0" fontId="4" fillId="5" borderId="64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0" fontId="4" fillId="5" borderId="41" xfId="36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9" fillId="33" borderId="50" xfId="41" applyNumberFormat="1" applyFont="1" applyFill="1" applyBorder="1" applyAlignment="1" applyProtection="1">
      <alignment horizontal="left"/>
      <protection/>
    </xf>
    <xf numFmtId="38" fontId="163" fillId="46" borderId="65" xfId="41" applyNumberFormat="1" applyFont="1" applyFill="1" applyBorder="1" applyAlignment="1" applyProtection="1">
      <alignment horizontal="center"/>
      <protection/>
    </xf>
    <xf numFmtId="38" fontId="163" fillId="46" borderId="20" xfId="41" applyNumberFormat="1" applyFont="1" applyFill="1" applyBorder="1" applyAlignment="1" applyProtection="1">
      <alignment horizontal="center"/>
      <protection/>
    </xf>
    <xf numFmtId="38" fontId="163" fillId="46" borderId="58" xfId="41" applyNumberFormat="1" applyFont="1" applyFill="1" applyBorder="1" applyAlignment="1" applyProtection="1">
      <alignment horizontal="center"/>
      <protection/>
    </xf>
    <xf numFmtId="38" fontId="48" fillId="33" borderId="62" xfId="41" applyNumberFormat="1" applyFont="1" applyFill="1" applyBorder="1" applyAlignment="1" applyProtection="1">
      <alignment horizontal="center"/>
      <protection/>
    </xf>
    <xf numFmtId="38" fontId="48" fillId="33" borderId="45" xfId="41" applyNumberFormat="1" applyFont="1" applyFill="1" applyBorder="1" applyAlignment="1" applyProtection="1">
      <alignment horizontal="center"/>
      <protection/>
    </xf>
    <xf numFmtId="38" fontId="48" fillId="33" borderId="46" xfId="41" applyNumberFormat="1" applyFont="1" applyFill="1" applyBorder="1" applyAlignment="1" applyProtection="1">
      <alignment horizontal="center"/>
      <protection/>
    </xf>
    <xf numFmtId="38" fontId="14" fillId="33" borderId="60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38" fontId="14" fillId="33" borderId="50" xfId="41" applyNumberFormat="1" applyFont="1" applyFill="1" applyBorder="1" applyAlignment="1" applyProtection="1">
      <alignment horizontal="center"/>
      <protection/>
    </xf>
    <xf numFmtId="38" fontId="182" fillId="43" borderId="42" xfId="41" applyNumberFormat="1" applyFont="1" applyFill="1" applyBorder="1" applyAlignment="1" applyProtection="1">
      <alignment horizontal="center"/>
      <protection/>
    </xf>
    <xf numFmtId="38" fontId="182" fillId="43" borderId="43" xfId="41" applyNumberFormat="1" applyFont="1" applyFill="1" applyBorder="1" applyAlignment="1" applyProtection="1">
      <alignment horizontal="center"/>
      <protection/>
    </xf>
    <xf numFmtId="38" fontId="182" fillId="43" borderId="44" xfId="41" applyNumberFormat="1" applyFont="1" applyFill="1" applyBorder="1" applyAlignment="1" applyProtection="1">
      <alignment horizontal="center"/>
      <protection/>
    </xf>
    <xf numFmtId="186" fontId="200" fillId="45" borderId="28" xfId="33" applyNumberFormat="1" applyFont="1" applyFill="1" applyBorder="1" applyAlignment="1" applyProtection="1">
      <alignment horizontal="center" vertical="center"/>
      <protection locked="0"/>
    </xf>
    <xf numFmtId="186" fontId="200" fillId="45" borderId="29" xfId="33" applyNumberFormat="1" applyFont="1" applyFill="1" applyBorder="1" applyAlignment="1" applyProtection="1">
      <alignment horizontal="center" vertical="center"/>
      <protection locked="0"/>
    </xf>
    <xf numFmtId="0" fontId="10" fillId="33" borderId="66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0" fontId="10" fillId="33" borderId="39" xfId="36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207" fontId="201" fillId="26" borderId="0" xfId="0" applyNumberFormat="1" applyFont="1" applyFill="1" applyAlignment="1" applyProtection="1">
      <alignment horizontal="center"/>
      <protection/>
    </xf>
    <xf numFmtId="207" fontId="201" fillId="54" borderId="0" xfId="0" applyNumberFormat="1" applyFont="1" applyFill="1" applyAlignment="1" applyProtection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3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87" fontId="8" fillId="33" borderId="28" xfId="38" applyNumberFormat="1" applyFont="1" applyFill="1" applyBorder="1" applyAlignment="1" applyProtection="1" quotePrefix="1">
      <alignment horizontal="center" vertical="center"/>
      <protection/>
    </xf>
    <xf numFmtId="187" fontId="8" fillId="33" borderId="29" xfId="38" applyNumberFormat="1" applyFont="1" applyFill="1" applyBorder="1" applyAlignment="1" applyProtection="1" quotePrefix="1">
      <alignment horizontal="center" vertical="center"/>
      <protection/>
    </xf>
    <xf numFmtId="186" fontId="200" fillId="45" borderId="28" xfId="33" applyNumberFormat="1" applyFont="1" applyFill="1" applyBorder="1" applyAlignment="1" applyProtection="1">
      <alignment horizontal="center" vertical="center"/>
      <protection/>
    </xf>
    <xf numFmtId="186" fontId="200" fillId="45" borderId="29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9" fillId="33" borderId="26" xfId="40" applyFont="1" applyFill="1" applyBorder="1" applyAlignment="1" applyProtection="1">
      <alignment horizontal="center" vertical="center" wrapText="1"/>
      <protection/>
    </xf>
    <xf numFmtId="0" fontId="59" fillId="33" borderId="20" xfId="40" applyFont="1" applyFill="1" applyBorder="1" applyAlignment="1" applyProtection="1">
      <alignment horizontal="center" vertical="center" wrapText="1"/>
      <protection/>
    </xf>
    <xf numFmtId="0" fontId="59" fillId="33" borderId="21" xfId="40" applyFont="1" applyFill="1" applyBorder="1" applyAlignment="1" applyProtection="1">
      <alignment horizontal="center" vertical="center" wrapText="1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38" fontId="11" fillId="33" borderId="43" xfId="71" applyNumberFormat="1" applyFont="1" applyFill="1" applyBorder="1" applyAlignment="1" applyProtection="1">
      <alignment horizontal="center" vertical="center"/>
      <protection/>
    </xf>
    <xf numFmtId="38" fontId="11" fillId="33" borderId="29" xfId="71" applyNumberFormat="1" applyFont="1" applyFill="1" applyBorder="1" applyAlignment="1" applyProtection="1">
      <alignment horizontal="center" vertical="center"/>
      <protection/>
    </xf>
    <xf numFmtId="0" fontId="202" fillId="36" borderId="28" xfId="71" applyFont="1" applyFill="1" applyBorder="1" applyAlignment="1" applyProtection="1">
      <alignment horizontal="center" vertical="center"/>
      <protection/>
    </xf>
    <xf numFmtId="0" fontId="202" fillId="36" borderId="43" xfId="71" applyFont="1" applyFill="1" applyBorder="1" applyAlignment="1" applyProtection="1">
      <alignment horizontal="center" vertical="center"/>
      <protection/>
    </xf>
    <xf numFmtId="0" fontId="202" fillId="36" borderId="29" xfId="71" applyFont="1" applyFill="1" applyBorder="1" applyAlignment="1" applyProtection="1">
      <alignment horizontal="center" vertical="center"/>
      <protection/>
    </xf>
    <xf numFmtId="0" fontId="30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99" fillId="33" borderId="0" xfId="36" applyNumberFormat="1" applyFont="1" applyFill="1" applyBorder="1" applyAlignment="1" applyProtection="1">
      <alignment horizontal="center"/>
      <protection/>
    </xf>
    <xf numFmtId="0" fontId="196" fillId="33" borderId="45" xfId="33" applyFont="1" applyFill="1" applyBorder="1" applyAlignment="1" applyProtection="1" quotePrefix="1">
      <alignment horizontal="center"/>
      <protection/>
    </xf>
    <xf numFmtId="185" fontId="4" fillId="26" borderId="28" xfId="36" applyNumberFormat="1" applyFont="1" applyFill="1" applyBorder="1" applyAlignment="1" applyProtection="1">
      <alignment horizontal="center"/>
      <protection/>
    </xf>
    <xf numFmtId="185" fontId="4" fillId="26" borderId="43" xfId="36" applyNumberFormat="1" applyFont="1" applyFill="1" applyBorder="1" applyAlignment="1" applyProtection="1">
      <alignment horizontal="center"/>
      <protection/>
    </xf>
    <xf numFmtId="185" fontId="4" fillId="26" borderId="29" xfId="36" applyNumberFormat="1" applyFont="1" applyFill="1" applyBorder="1" applyAlignment="1" applyProtection="1">
      <alignment horizontal="center"/>
      <protection/>
    </xf>
    <xf numFmtId="0" fontId="198" fillId="33" borderId="116" xfId="37" applyFont="1" applyFill="1" applyBorder="1" applyAlignment="1" applyProtection="1">
      <alignment horizontal="center"/>
      <protection/>
    </xf>
    <xf numFmtId="0" fontId="198" fillId="33" borderId="135" xfId="37" applyFont="1" applyFill="1" applyBorder="1" applyAlignment="1" applyProtection="1">
      <alignment horizontal="center"/>
      <protection/>
    </xf>
    <xf numFmtId="208" fontId="203" fillId="55" borderId="0" xfId="33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288</v>
      </c>
      <c r="C2" s="614"/>
      <c r="D2" s="614"/>
      <c r="E2" s="614"/>
      <c r="F2" s="614"/>
      <c r="G2" s="614"/>
      <c r="H2" s="614"/>
      <c r="I2" s="614"/>
      <c r="J2" s="614"/>
      <c r="K2" s="614"/>
      <c r="L2" s="685">
        <f>+'Cash-Flow-2022-Leva'!P5</f>
        <v>2022</v>
      </c>
      <c r="M2" s="685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93">
        <f>+'Cash-Flow-2022-Leva'!P5</f>
        <v>2022</v>
      </c>
      <c r="I7" s="693"/>
      <c r="J7" s="67" t="s">
        <v>370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371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372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373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374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300</v>
      </c>
      <c r="E14" s="67"/>
      <c r="F14" s="67"/>
      <c r="G14" s="67"/>
      <c r="H14" s="615">
        <f>+H7</f>
        <v>2022</v>
      </c>
      <c r="I14" s="67" t="s">
        <v>301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375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376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377</v>
      </c>
      <c r="E17" s="616">
        <f>+H7-1</f>
        <v>2021</v>
      </c>
      <c r="F17" s="463" t="s">
        <v>378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379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380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381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300</v>
      </c>
      <c r="E21" s="67"/>
      <c r="F21" s="67"/>
      <c r="G21" s="67"/>
      <c r="H21" s="616">
        <f>+H7-1</f>
        <v>2021</v>
      </c>
      <c r="I21" s="67" t="s">
        <v>301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382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383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270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269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279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289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95">
        <f>+'Cash-Flow-2022-Leva'!P5</f>
        <v>2022</v>
      </c>
      <c r="G30" s="695"/>
      <c r="H30" s="695"/>
      <c r="I30" s="695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384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385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386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387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388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389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264</v>
      </c>
      <c r="E37" s="67"/>
      <c r="F37" s="67"/>
      <c r="G37" s="668">
        <f>+H7</f>
        <v>2022</v>
      </c>
      <c r="H37" s="66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390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391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392</v>
      </c>
      <c r="E40" s="67"/>
      <c r="F40" s="67"/>
      <c r="G40" s="67"/>
      <c r="H40" s="67"/>
      <c r="I40" s="67"/>
      <c r="J40" s="67"/>
      <c r="L40" s="687">
        <f>+F30-1</f>
        <v>2021</v>
      </c>
      <c r="M40" s="687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267</v>
      </c>
      <c r="E41" s="67"/>
      <c r="F41" s="620"/>
      <c r="G41" s="620"/>
      <c r="H41" s="620"/>
      <c r="I41" s="621"/>
      <c r="J41" s="622">
        <f>+H7-1</f>
        <v>2021</v>
      </c>
      <c r="K41" s="67" t="s">
        <v>265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266</v>
      </c>
      <c r="E42" s="67"/>
      <c r="F42" s="620"/>
      <c r="G42" s="686">
        <f>+H7-1</f>
        <v>2021</v>
      </c>
      <c r="H42" s="686"/>
      <c r="I42" s="623" t="s">
        <v>393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394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395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268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397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398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348</v>
      </c>
      <c r="E55" s="67"/>
      <c r="F55" s="67"/>
      <c r="G55" s="67"/>
      <c r="H55" s="67"/>
      <c r="I55" s="67"/>
      <c r="J55" s="624"/>
      <c r="K55" s="673"/>
      <c r="L55" s="673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399</v>
      </c>
      <c r="E56" s="67"/>
      <c r="F56" s="67"/>
      <c r="G56" s="67"/>
      <c r="H56" s="67"/>
      <c r="I56" s="67"/>
      <c r="J56" s="624"/>
      <c r="K56" s="682">
        <f>+H7</f>
        <v>2022</v>
      </c>
      <c r="L56" s="682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349</v>
      </c>
      <c r="E57" s="67"/>
      <c r="F57" s="67"/>
      <c r="G57" s="67"/>
      <c r="H57" s="67"/>
      <c r="I57" s="668">
        <f>+H7</f>
        <v>2022</v>
      </c>
      <c r="J57" s="668"/>
      <c r="K57" s="625" t="s">
        <v>400</v>
      </c>
      <c r="L57" s="666">
        <f>+H7</f>
        <v>2022</v>
      </c>
      <c r="M57" s="666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303</v>
      </c>
      <c r="E59" s="690">
        <f>+H7</f>
        <v>2022</v>
      </c>
      <c r="F59" s="690"/>
      <c r="G59" s="690"/>
      <c r="H59" s="690"/>
      <c r="I59" s="690"/>
      <c r="J59" s="690"/>
      <c r="K59" s="546" t="s">
        <v>304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306</v>
      </c>
      <c r="E60" s="691">
        <f>+H7</f>
        <v>2022</v>
      </c>
      <c r="F60" s="691"/>
      <c r="G60" s="691"/>
      <c r="H60" s="691"/>
      <c r="I60" s="691"/>
      <c r="J60" s="691"/>
      <c r="K60" s="549" t="s">
        <v>305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309</v>
      </c>
      <c r="E61" s="684">
        <f>+H7</f>
        <v>2022</v>
      </c>
      <c r="F61" s="684"/>
      <c r="G61" s="684"/>
      <c r="H61" s="684"/>
      <c r="I61" s="684"/>
      <c r="J61" s="684"/>
      <c r="K61" s="552" t="s">
        <v>307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352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350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351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401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402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403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404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405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406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354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407</v>
      </c>
      <c r="E75" s="67"/>
      <c r="F75" s="67"/>
      <c r="G75" s="67"/>
      <c r="H75" s="626"/>
      <c r="I75" s="669">
        <f>+H7</f>
        <v>2022</v>
      </c>
      <c r="J75" s="669"/>
      <c r="K75" s="67" t="s">
        <v>408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353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409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410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348</v>
      </c>
      <c r="E80" s="67"/>
      <c r="F80" s="67"/>
      <c r="G80" s="67"/>
      <c r="H80" s="67"/>
      <c r="I80" s="67"/>
      <c r="J80" s="624"/>
      <c r="K80" s="673"/>
      <c r="L80" s="673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399</v>
      </c>
      <c r="E81" s="67"/>
      <c r="F81" s="67"/>
      <c r="G81" s="67"/>
      <c r="H81" s="67"/>
      <c r="I81" s="67"/>
      <c r="J81" s="624"/>
      <c r="K81" s="682">
        <f>+H7</f>
        <v>2022</v>
      </c>
      <c r="L81" s="682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349</v>
      </c>
      <c r="E82" s="67"/>
      <c r="F82" s="67"/>
      <c r="G82" s="67"/>
      <c r="H82" s="67"/>
      <c r="I82" s="668">
        <f>+H7</f>
        <v>2022</v>
      </c>
      <c r="J82" s="668"/>
      <c r="K82" s="625" t="s">
        <v>411</v>
      </c>
      <c r="L82" s="666">
        <f>+H7</f>
        <v>2022</v>
      </c>
      <c r="M82" s="666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303</v>
      </c>
      <c r="E84" s="667">
        <f>+H7</f>
        <v>2022</v>
      </c>
      <c r="F84" s="667"/>
      <c r="G84" s="667"/>
      <c r="H84" s="667"/>
      <c r="I84" s="667"/>
      <c r="J84" s="667"/>
      <c r="K84" s="546" t="s">
        <v>310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306</v>
      </c>
      <c r="E85" s="671">
        <f>+H7</f>
        <v>2022</v>
      </c>
      <c r="F85" s="671"/>
      <c r="G85" s="671"/>
      <c r="H85" s="671"/>
      <c r="I85" s="671"/>
      <c r="J85" s="671"/>
      <c r="K85" s="549" t="s">
        <v>311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309</v>
      </c>
      <c r="E86" s="672">
        <f>+H7</f>
        <v>2022</v>
      </c>
      <c r="F86" s="672"/>
      <c r="G86" s="672"/>
      <c r="H86" s="672"/>
      <c r="I86" s="672"/>
      <c r="J86" s="672"/>
      <c r="K86" s="552" t="s">
        <v>312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355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350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351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412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413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348</v>
      </c>
      <c r="E96" s="67"/>
      <c r="F96" s="67"/>
      <c r="G96" s="67"/>
      <c r="H96" s="67"/>
      <c r="I96" s="67"/>
      <c r="J96" s="624"/>
      <c r="K96" s="673"/>
      <c r="L96" s="673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399</v>
      </c>
      <c r="E97" s="67"/>
      <c r="F97" s="67"/>
      <c r="G97" s="67"/>
      <c r="H97" s="67"/>
      <c r="I97" s="67"/>
      <c r="J97" s="624"/>
      <c r="K97" s="674">
        <f>+H7-1</f>
        <v>2021</v>
      </c>
      <c r="L97" s="674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313</v>
      </c>
      <c r="E98" s="67"/>
      <c r="F98" s="67"/>
      <c r="G98" s="67"/>
      <c r="H98" s="67"/>
      <c r="I98" s="681">
        <f>+H7-1</f>
        <v>2021</v>
      </c>
      <c r="J98" s="681"/>
      <c r="K98" s="625" t="s">
        <v>400</v>
      </c>
      <c r="L98" s="666">
        <f>+H7</f>
        <v>2022</v>
      </c>
      <c r="M98" s="666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414</v>
      </c>
      <c r="E100" s="683">
        <f>+H7-1</f>
        <v>2021</v>
      </c>
      <c r="F100" s="683"/>
      <c r="G100" s="683"/>
      <c r="H100" s="683"/>
      <c r="I100" s="683"/>
      <c r="J100" s="683"/>
      <c r="K100" s="629" t="s">
        <v>415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416</v>
      </c>
      <c r="E101" s="670">
        <f>+H7-1</f>
        <v>2021</v>
      </c>
      <c r="F101" s="670"/>
      <c r="G101" s="670"/>
      <c r="H101" s="670"/>
      <c r="I101" s="670"/>
      <c r="J101" s="670"/>
      <c r="K101" s="632" t="s">
        <v>417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418</v>
      </c>
      <c r="E102" s="689">
        <f>+H7-1</f>
        <v>2021</v>
      </c>
      <c r="F102" s="689"/>
      <c r="G102" s="689"/>
      <c r="H102" s="689"/>
      <c r="I102" s="689"/>
      <c r="J102" s="689"/>
      <c r="K102" s="635" t="s">
        <v>419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420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350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351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421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402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403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404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405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406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422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314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407</v>
      </c>
      <c r="E116" s="67"/>
      <c r="F116" s="67"/>
      <c r="G116" s="67"/>
      <c r="H116" s="646"/>
      <c r="I116" s="669">
        <f>+H7</f>
        <v>2022</v>
      </c>
      <c r="J116" s="669"/>
      <c r="K116" s="67" t="s">
        <v>423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353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409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424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348</v>
      </c>
      <c r="E121" s="67"/>
      <c r="F121" s="67"/>
      <c r="G121" s="67"/>
      <c r="H121" s="67"/>
      <c r="I121" s="67"/>
      <c r="J121" s="624"/>
      <c r="K121" s="673"/>
      <c r="L121" s="673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399</v>
      </c>
      <c r="E122" s="67"/>
      <c r="F122" s="67"/>
      <c r="G122" s="67"/>
      <c r="H122" s="67"/>
      <c r="I122" s="67"/>
      <c r="J122" s="624"/>
      <c r="K122" s="674">
        <f>+H7-1</f>
        <v>2021</v>
      </c>
      <c r="L122" s="674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313</v>
      </c>
      <c r="E123" s="67"/>
      <c r="F123" s="67"/>
      <c r="G123" s="67"/>
      <c r="H123" s="67"/>
      <c r="I123" s="681">
        <f>+H7-1</f>
        <v>2021</v>
      </c>
      <c r="J123" s="681"/>
      <c r="K123" s="625" t="s">
        <v>411</v>
      </c>
      <c r="L123" s="666">
        <f>+H7</f>
        <v>2022</v>
      </c>
      <c r="M123" s="666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303</v>
      </c>
      <c r="E125" s="678">
        <f>+H7-1</f>
        <v>2021</v>
      </c>
      <c r="F125" s="678"/>
      <c r="G125" s="678"/>
      <c r="H125" s="678"/>
      <c r="I125" s="678"/>
      <c r="J125" s="678"/>
      <c r="K125" s="555" t="s">
        <v>315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306</v>
      </c>
      <c r="E126" s="676">
        <f>+H7-1</f>
        <v>2021</v>
      </c>
      <c r="F126" s="676"/>
      <c r="G126" s="676"/>
      <c r="H126" s="676"/>
      <c r="I126" s="676"/>
      <c r="J126" s="676"/>
      <c r="K126" s="558" t="s">
        <v>316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309</v>
      </c>
      <c r="E127" s="677">
        <f>+H7-1</f>
        <v>2021</v>
      </c>
      <c r="F127" s="677"/>
      <c r="G127" s="677"/>
      <c r="H127" s="677"/>
      <c r="I127" s="677"/>
      <c r="J127" s="677"/>
      <c r="K127" s="561" t="s">
        <v>317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425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350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351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334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426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335</v>
      </c>
      <c r="E136" s="67"/>
      <c r="F136" s="542"/>
      <c r="G136" s="542"/>
      <c r="H136" s="591"/>
      <c r="I136" s="591"/>
      <c r="J136" s="680">
        <f>+H7</f>
        <v>2022</v>
      </c>
      <c r="K136" s="680"/>
      <c r="L136" s="680"/>
      <c r="M136" s="67" t="s">
        <v>336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337</v>
      </c>
      <c r="E137" s="67"/>
      <c r="F137" s="67"/>
      <c r="G137" s="67"/>
      <c r="H137" s="692">
        <f>+H7</f>
        <v>2022</v>
      </c>
      <c r="I137" s="692"/>
      <c r="J137" s="67" t="s">
        <v>338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427</v>
      </c>
      <c r="E138" s="67"/>
      <c r="F138" s="67"/>
      <c r="G138" s="592"/>
      <c r="H138" s="592"/>
      <c r="I138" s="700">
        <f>+H7</f>
        <v>2022</v>
      </c>
      <c r="J138" s="700"/>
      <c r="K138" s="67" t="s">
        <v>339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428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429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430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347</v>
      </c>
      <c r="E144" s="67"/>
      <c r="F144" s="67"/>
      <c r="G144" s="67"/>
      <c r="H144" s="67"/>
      <c r="I144" s="67"/>
      <c r="J144" s="701">
        <f>+H7</f>
        <v>2022</v>
      </c>
      <c r="K144" s="701"/>
      <c r="L144" s="701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313</v>
      </c>
      <c r="E145" s="67"/>
      <c r="F145" s="67"/>
      <c r="G145" s="67"/>
      <c r="H145" s="593"/>
      <c r="I145" s="692">
        <f>+H14</f>
        <v>2022</v>
      </c>
      <c r="J145" s="692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431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432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341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340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433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434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435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342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436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437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343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438</v>
      </c>
      <c r="E160" s="67"/>
      <c r="F160" s="67"/>
      <c r="G160" s="67"/>
      <c r="H160" s="67"/>
      <c r="I160" s="67"/>
      <c r="J160" s="67"/>
      <c r="K160" s="675">
        <f>+H7</f>
        <v>2022</v>
      </c>
      <c r="L160" s="675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439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346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98" t="s">
        <v>344</v>
      </c>
      <c r="G164" s="698"/>
      <c r="H164" s="698"/>
      <c r="I164" s="698"/>
      <c r="J164" s="698"/>
      <c r="K164" s="698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98" t="s">
        <v>345</v>
      </c>
      <c r="G165" s="698"/>
      <c r="H165" s="698"/>
      <c r="I165" s="698"/>
      <c r="J165" s="698"/>
      <c r="K165" s="698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96">
        <f>+'Cash-Flow-2022-Leva'!P5</f>
        <v>2022</v>
      </c>
      <c r="G167" s="696"/>
      <c r="H167" s="696"/>
      <c r="I167" s="696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97">
        <f>+'Cash-Flow-2022-Leva'!P5</f>
        <v>2022</v>
      </c>
      <c r="H168" s="697"/>
      <c r="I168" s="697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69">
        <f>+'Cash-Flow-2022-Leva'!P5</f>
        <v>2022</v>
      </c>
      <c r="G169" s="669"/>
      <c r="H169" s="669"/>
      <c r="I169" s="669"/>
      <c r="J169" s="67" t="s">
        <v>440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441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442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356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443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444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445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446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447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448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357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449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69">
        <f>+'Cash-Flow-2022-Leva'!P5</f>
        <v>2022</v>
      </c>
      <c r="F185" s="669"/>
      <c r="G185" s="669"/>
      <c r="H185" s="669"/>
      <c r="I185" s="90" t="s">
        <v>450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79">
        <f>+'Cash-Flow-2022-Leva'!P5</f>
        <v>2022</v>
      </c>
      <c r="L186" s="679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451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8">
        <f>H7</f>
        <v>2022</v>
      </c>
      <c r="E189" s="688"/>
      <c r="F189" s="654" t="s">
        <v>452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98" t="s">
        <v>344</v>
      </c>
      <c r="G191" s="698"/>
      <c r="H191" s="698"/>
      <c r="I191" s="698"/>
      <c r="J191" s="698"/>
      <c r="K191" s="698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99">
        <f>+L2</f>
        <v>2022</v>
      </c>
      <c r="G192" s="699"/>
      <c r="H192" s="699"/>
      <c r="I192" s="699"/>
      <c r="J192" s="699"/>
      <c r="K192" s="699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94">
        <f>+'Cash-Flow-2022-Leva'!P5</f>
        <v>2022</v>
      </c>
      <c r="I194" s="694"/>
      <c r="J194" s="694"/>
      <c r="K194" s="85" t="s">
        <v>308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453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454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455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456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457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458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36" t="s">
        <v>461</v>
      </c>
      <c r="C1" s="737"/>
      <c r="D1" s="737"/>
      <c r="E1" s="737"/>
      <c r="F1" s="738"/>
      <c r="G1" s="433" t="s">
        <v>244</v>
      </c>
      <c r="H1" s="426"/>
      <c r="I1" s="724">
        <v>776299</v>
      </c>
      <c r="J1" s="725"/>
      <c r="K1" s="427"/>
      <c r="L1" s="435" t="s">
        <v>245</v>
      </c>
      <c r="M1" s="431">
        <v>7311</v>
      </c>
      <c r="N1" s="427"/>
      <c r="O1" s="435" t="s">
        <v>239</v>
      </c>
      <c r="P1" s="452"/>
      <c r="Q1" s="428"/>
      <c r="R1" s="344" t="s">
        <v>277</v>
      </c>
      <c r="S1" s="809"/>
      <c r="T1" s="810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56" t="s">
        <v>240</v>
      </c>
      <c r="C2" s="757"/>
      <c r="D2" s="757"/>
      <c r="E2" s="757"/>
      <c r="F2" s="758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40" t="s">
        <v>462</v>
      </c>
      <c r="C3" s="741"/>
      <c r="D3" s="741"/>
      <c r="E3" s="741"/>
      <c r="F3" s="742"/>
      <c r="G3" s="434" t="s">
        <v>238</v>
      </c>
      <c r="H3" s="729"/>
      <c r="I3" s="730"/>
      <c r="J3" s="730"/>
      <c r="K3" s="731"/>
      <c r="L3" s="28" t="s">
        <v>246</v>
      </c>
      <c r="M3" s="726"/>
      <c r="N3" s="727"/>
      <c r="O3" s="727"/>
      <c r="P3" s="728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04">
        <f>+IF(+O174&gt;0,"НЕРАВНЕНИЕ: Касов отчет - Баланс!",0)</f>
        <v>0</v>
      </c>
      <c r="C5" s="704"/>
      <c r="D5" s="760" t="s">
        <v>243</v>
      </c>
      <c r="E5" s="760"/>
      <c r="F5" s="760"/>
      <c r="G5" s="760"/>
      <c r="H5" s="760"/>
      <c r="I5" s="760"/>
      <c r="J5" s="760"/>
      <c r="K5" s="760"/>
      <c r="L5" s="760"/>
      <c r="M5" s="20"/>
      <c r="N5" s="20"/>
      <c r="O5" s="24" t="s">
        <v>17</v>
      </c>
      <c r="P5" s="450">
        <v>2022</v>
      </c>
      <c r="Q5" s="20"/>
      <c r="R5" s="732" t="s">
        <v>180</v>
      </c>
      <c r="S5" s="732"/>
      <c r="T5" s="732"/>
      <c r="U5" s="15"/>
    </row>
    <row r="6" spans="1:28" s="3" customFormat="1" ht="17.25" customHeight="1">
      <c r="A6" s="15"/>
      <c r="B6" s="705">
        <f>+IF(B5=0,0,P5)</f>
        <v>0</v>
      </c>
      <c r="C6" s="705"/>
      <c r="D6" s="760" t="s">
        <v>242</v>
      </c>
      <c r="E6" s="760"/>
      <c r="F6" s="760"/>
      <c r="G6" s="760"/>
      <c r="H6" s="760"/>
      <c r="I6" s="760"/>
      <c r="J6" s="760"/>
      <c r="K6" s="760"/>
      <c r="L6" s="760"/>
      <c r="M6" s="21"/>
      <c r="N6" s="16"/>
      <c r="O6" s="15"/>
      <c r="P6" s="15"/>
      <c r="Q6" s="13"/>
      <c r="R6" s="759">
        <f>+P4</f>
        <v>0</v>
      </c>
      <c r="S6" s="759"/>
      <c r="T6" s="75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39" t="str">
        <f>+B1</f>
        <v>ОБЩИНА  ИХТИМАН</v>
      </c>
      <c r="E8" s="739"/>
      <c r="F8" s="739"/>
      <c r="G8" s="739"/>
      <c r="H8" s="739"/>
      <c r="I8" s="739"/>
      <c r="J8" s="739"/>
      <c r="K8" s="739"/>
      <c r="L8" s="739"/>
      <c r="M8" s="432" t="s">
        <v>247</v>
      </c>
      <c r="N8" s="16"/>
      <c r="O8" s="607" t="s">
        <v>360</v>
      </c>
      <c r="P8" s="290" t="s">
        <v>46</v>
      </c>
      <c r="Q8" s="13"/>
      <c r="R8" s="733">
        <f>+P5</f>
        <v>2022</v>
      </c>
      <c r="S8" s="734"/>
      <c r="T8" s="73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47" t="s">
        <v>0</v>
      </c>
      <c r="S10" s="748"/>
      <c r="T10" s="74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31.03.2022 г.</v>
      </c>
      <c r="G11" s="396">
        <f>+P5-1</f>
        <v>2021</v>
      </c>
      <c r="H11" s="15"/>
      <c r="I11" s="604" t="str">
        <f>+O8</f>
        <v>31.03.2022 г.</v>
      </c>
      <c r="J11" s="397">
        <f>+P5-1</f>
        <v>2021</v>
      </c>
      <c r="K11" s="16"/>
      <c r="L11" s="605" t="str">
        <f>+O8</f>
        <v>31.03.2022 г.</v>
      </c>
      <c r="M11" s="398">
        <f>+P5-1</f>
        <v>2021</v>
      </c>
      <c r="N11" s="16"/>
      <c r="O11" s="606" t="str">
        <f>+O8</f>
        <v>31.03.2022 г.</v>
      </c>
      <c r="P11" s="399">
        <f>+P5-1</f>
        <v>2021</v>
      </c>
      <c r="Q11" s="352"/>
      <c r="R11" s="750" t="s">
        <v>181</v>
      </c>
      <c r="S11" s="751"/>
      <c r="T11" s="75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358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359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436045</v>
      </c>
      <c r="G15" s="229">
        <v>1565920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436045</v>
      </c>
      <c r="P15" s="378">
        <f t="shared" si="0"/>
        <v>1565920</v>
      </c>
      <c r="Q15" s="31"/>
      <c r="R15" s="753" t="s">
        <v>149</v>
      </c>
      <c r="S15" s="754"/>
      <c r="T15" s="755"/>
      <c r="U15" s="34"/>
      <c r="V15" s="2"/>
      <c r="W15" s="104" t="s">
        <v>360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284</v>
      </c>
      <c r="C16" s="152"/>
      <c r="D16" s="153"/>
      <c r="E16" s="15"/>
      <c r="F16" s="234">
        <v>527722</v>
      </c>
      <c r="G16" s="233">
        <v>2251330</v>
      </c>
      <c r="H16" s="15"/>
      <c r="I16" s="234"/>
      <c r="J16" s="233"/>
      <c r="K16" s="227"/>
      <c r="L16" s="234"/>
      <c r="M16" s="233"/>
      <c r="N16" s="227"/>
      <c r="O16" s="361">
        <f t="shared" si="0"/>
        <v>527722</v>
      </c>
      <c r="P16" s="384">
        <f t="shared" si="0"/>
        <v>2251330</v>
      </c>
      <c r="Q16" s="31"/>
      <c r="R16" s="761" t="s">
        <v>285</v>
      </c>
      <c r="S16" s="762"/>
      <c r="T16" s="763"/>
      <c r="U16" s="34"/>
      <c r="V16" s="2"/>
      <c r="W16" s="217" t="s">
        <v>361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286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67" t="s">
        <v>280</v>
      </c>
      <c r="S17" s="768"/>
      <c r="T17" s="769"/>
      <c r="U17" s="34"/>
      <c r="V17" s="2"/>
      <c r="W17" s="215" t="s">
        <v>362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23994</v>
      </c>
      <c r="G18" s="229">
        <v>97874</v>
      </c>
      <c r="H18" s="15"/>
      <c r="I18" s="230"/>
      <c r="J18" s="229"/>
      <c r="K18" s="227"/>
      <c r="L18" s="230"/>
      <c r="M18" s="229"/>
      <c r="N18" s="227"/>
      <c r="O18" s="365">
        <f t="shared" si="0"/>
        <v>23994</v>
      </c>
      <c r="P18" s="378">
        <f t="shared" si="0"/>
        <v>97874</v>
      </c>
      <c r="Q18" s="31"/>
      <c r="R18" s="753" t="s">
        <v>150</v>
      </c>
      <c r="S18" s="754"/>
      <c r="T18" s="755"/>
      <c r="U18" s="34"/>
      <c r="V18" s="2"/>
      <c r="W18" s="104" t="s">
        <v>363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42722</v>
      </c>
      <c r="G19" s="231">
        <v>960869</v>
      </c>
      <c r="H19" s="15"/>
      <c r="I19" s="232"/>
      <c r="J19" s="231"/>
      <c r="K19" s="227"/>
      <c r="L19" s="232"/>
      <c r="M19" s="231"/>
      <c r="N19" s="227"/>
      <c r="O19" s="360">
        <f t="shared" si="0"/>
        <v>42722</v>
      </c>
      <c r="P19" s="412">
        <f t="shared" si="0"/>
        <v>960869</v>
      </c>
      <c r="Q19" s="31"/>
      <c r="R19" s="764" t="s">
        <v>151</v>
      </c>
      <c r="S19" s="765"/>
      <c r="T19" s="766"/>
      <c r="U19" s="34"/>
      <c r="V19" s="2"/>
      <c r="W19" s="217" t="s">
        <v>364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49209</v>
      </c>
      <c r="G20" s="231">
        <v>191080</v>
      </c>
      <c r="H20" s="15"/>
      <c r="I20" s="232"/>
      <c r="J20" s="231"/>
      <c r="K20" s="227"/>
      <c r="L20" s="232"/>
      <c r="M20" s="231"/>
      <c r="N20" s="227"/>
      <c r="O20" s="360">
        <f t="shared" si="0"/>
        <v>49209</v>
      </c>
      <c r="P20" s="412">
        <f t="shared" si="0"/>
        <v>191080</v>
      </c>
      <c r="Q20" s="31"/>
      <c r="R20" s="764" t="s">
        <v>152</v>
      </c>
      <c r="S20" s="765"/>
      <c r="T20" s="766"/>
      <c r="U20" s="34"/>
      <c r="V20" s="2"/>
      <c r="W20" s="215" t="s">
        <v>365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78571</v>
      </c>
      <c r="G21" s="231">
        <v>129969</v>
      </c>
      <c r="H21" s="15"/>
      <c r="I21" s="232"/>
      <c r="J21" s="231"/>
      <c r="K21" s="227"/>
      <c r="L21" s="232"/>
      <c r="M21" s="231"/>
      <c r="N21" s="227"/>
      <c r="O21" s="360">
        <f t="shared" si="0"/>
        <v>78571</v>
      </c>
      <c r="P21" s="412">
        <f t="shared" si="0"/>
        <v>129969</v>
      </c>
      <c r="Q21" s="31"/>
      <c r="R21" s="764" t="s">
        <v>153</v>
      </c>
      <c r="S21" s="765"/>
      <c r="T21" s="766"/>
      <c r="U21" s="34"/>
      <c r="V21" s="2"/>
      <c r="W21" s="104" t="s">
        <v>366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764" t="s">
        <v>154</v>
      </c>
      <c r="S22" s="765"/>
      <c r="T22" s="766"/>
      <c r="U22" s="34"/>
      <c r="V22" s="2"/>
      <c r="W22" s="217" t="s">
        <v>367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64" t="s">
        <v>155</v>
      </c>
      <c r="S23" s="765"/>
      <c r="T23" s="766"/>
      <c r="U23" s="34"/>
      <c r="V23" s="2"/>
      <c r="W23" s="215" t="s">
        <v>368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992</v>
      </c>
      <c r="G24" s="233">
        <v>116830</v>
      </c>
      <c r="H24" s="15"/>
      <c r="I24" s="234"/>
      <c r="J24" s="233"/>
      <c r="K24" s="227"/>
      <c r="L24" s="234"/>
      <c r="M24" s="233"/>
      <c r="N24" s="227"/>
      <c r="O24" s="361">
        <f t="shared" si="0"/>
        <v>992</v>
      </c>
      <c r="P24" s="384">
        <f t="shared" si="0"/>
        <v>116830</v>
      </c>
      <c r="Q24" s="31"/>
      <c r="R24" s="770" t="s">
        <v>281</v>
      </c>
      <c r="S24" s="771"/>
      <c r="T24" s="772"/>
      <c r="U24" s="34"/>
      <c r="V24" s="2"/>
      <c r="W24" s="104" t="s">
        <v>369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1159255</v>
      </c>
      <c r="G25" s="235">
        <f>+ROUND(+SUM(G15,G16,G18,G19,G20,G21,G22,G23,G24),0)</f>
        <v>5313872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1159255</v>
      </c>
      <c r="P25" s="363">
        <f>+ROUND(+SUM(P15,P16,P18,P19,P20,P21,P22,P23,P24),0)</f>
        <v>5313872</v>
      </c>
      <c r="Q25" s="31"/>
      <c r="R25" s="773" t="s">
        <v>182</v>
      </c>
      <c r="S25" s="774"/>
      <c r="T25" s="77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>
        <v>256284</v>
      </c>
      <c r="G27" s="229">
        <v>466238</v>
      </c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256284</v>
      </c>
      <c r="P27" s="378">
        <f t="shared" si="1"/>
        <v>466238</v>
      </c>
      <c r="Q27" s="31"/>
      <c r="R27" s="753" t="s">
        <v>156</v>
      </c>
      <c r="S27" s="754"/>
      <c r="T27" s="75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20760</v>
      </c>
      <c r="G28" s="231">
        <v>242371</v>
      </c>
      <c r="H28" s="15"/>
      <c r="I28" s="232"/>
      <c r="J28" s="231"/>
      <c r="K28" s="227"/>
      <c r="L28" s="232"/>
      <c r="M28" s="231"/>
      <c r="N28" s="227"/>
      <c r="O28" s="360">
        <f t="shared" si="1"/>
        <v>20760</v>
      </c>
      <c r="P28" s="412">
        <f t="shared" si="1"/>
        <v>242371</v>
      </c>
      <c r="Q28" s="31"/>
      <c r="R28" s="764" t="s">
        <v>157</v>
      </c>
      <c r="S28" s="765"/>
      <c r="T28" s="76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70" t="s">
        <v>158</v>
      </c>
      <c r="S29" s="771"/>
      <c r="T29" s="77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254</v>
      </c>
      <c r="C30" s="145"/>
      <c r="D30" s="146"/>
      <c r="E30" s="15"/>
      <c r="F30" s="236">
        <f>+ROUND(+SUM(F27:F29),0)</f>
        <v>277044</v>
      </c>
      <c r="G30" s="235">
        <f>+ROUND(+SUM(G27:G29),0)</f>
        <v>708609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277044</v>
      </c>
      <c r="P30" s="363">
        <f>+ROUND(+SUM(P27:P29),0)</f>
        <v>708609</v>
      </c>
      <c r="Q30" s="31"/>
      <c r="R30" s="773" t="s">
        <v>183</v>
      </c>
      <c r="S30" s="774"/>
      <c r="T30" s="77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255</v>
      </c>
      <c r="C37" s="145"/>
      <c r="D37" s="146"/>
      <c r="E37" s="15"/>
      <c r="F37" s="248">
        <v>-11908</v>
      </c>
      <c r="G37" s="247">
        <v>-330189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-11908</v>
      </c>
      <c r="P37" s="363">
        <f t="shared" si="2"/>
        <v>-330189</v>
      </c>
      <c r="Q37" s="31"/>
      <c r="R37" s="773" t="s">
        <v>184</v>
      </c>
      <c r="S37" s="774"/>
      <c r="T37" s="77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-11892</v>
      </c>
      <c r="G38" s="249">
        <v>-298223</v>
      </c>
      <c r="H38" s="15"/>
      <c r="I38" s="250"/>
      <c r="J38" s="249"/>
      <c r="K38" s="227"/>
      <c r="L38" s="250"/>
      <c r="M38" s="249"/>
      <c r="N38" s="227"/>
      <c r="O38" s="375">
        <f t="shared" si="2"/>
        <v>-11892</v>
      </c>
      <c r="P38" s="413">
        <f t="shared" si="2"/>
        <v>-298223</v>
      </c>
      <c r="Q38" s="31"/>
      <c r="R38" s="776" t="s">
        <v>159</v>
      </c>
      <c r="S38" s="777"/>
      <c r="T38" s="77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-16</v>
      </c>
      <c r="G39" s="251">
        <v>-31966</v>
      </c>
      <c r="H39" s="15"/>
      <c r="I39" s="252"/>
      <c r="J39" s="251"/>
      <c r="K39" s="227"/>
      <c r="L39" s="252"/>
      <c r="M39" s="251"/>
      <c r="N39" s="227"/>
      <c r="O39" s="376">
        <f t="shared" si="2"/>
        <v>-16</v>
      </c>
      <c r="P39" s="414">
        <f t="shared" si="2"/>
        <v>-31966</v>
      </c>
      <c r="Q39" s="31"/>
      <c r="R39" s="779" t="s">
        <v>160</v>
      </c>
      <c r="S39" s="780"/>
      <c r="T39" s="78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82" t="s">
        <v>161</v>
      </c>
      <c r="S40" s="783"/>
      <c r="T40" s="78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>
        <v>1752</v>
      </c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1752</v>
      </c>
      <c r="Q42" s="31"/>
      <c r="R42" s="773" t="s">
        <v>185</v>
      </c>
      <c r="S42" s="774"/>
      <c r="T42" s="77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53" t="s">
        <v>162</v>
      </c>
      <c r="S44" s="754"/>
      <c r="T44" s="75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64" t="s">
        <v>163</v>
      </c>
      <c r="S45" s="765"/>
      <c r="T45" s="76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250</v>
      </c>
      <c r="C46" s="152"/>
      <c r="D46" s="153"/>
      <c r="E46" s="15"/>
      <c r="F46" s="232"/>
      <c r="G46" s="231"/>
      <c r="H46" s="15"/>
      <c r="I46" s="232">
        <v>3590</v>
      </c>
      <c r="J46" s="231"/>
      <c r="K46" s="227"/>
      <c r="L46" s="232"/>
      <c r="M46" s="231"/>
      <c r="N46" s="227"/>
      <c r="O46" s="360">
        <f t="shared" si="3"/>
        <v>3590</v>
      </c>
      <c r="P46" s="412">
        <f t="shared" si="3"/>
        <v>0</v>
      </c>
      <c r="Q46" s="31"/>
      <c r="R46" s="764" t="s">
        <v>164</v>
      </c>
      <c r="S46" s="765"/>
      <c r="T46" s="76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>
        <v>24093</v>
      </c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24093</v>
      </c>
      <c r="Q47" s="31"/>
      <c r="R47" s="770" t="s">
        <v>165</v>
      </c>
      <c r="S47" s="771"/>
      <c r="T47" s="77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24093</v>
      </c>
      <c r="H48" s="15"/>
      <c r="I48" s="236">
        <f>+ROUND(+SUM(I44:I47),0)</f>
        <v>3590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3590</v>
      </c>
      <c r="P48" s="363">
        <f>+ROUND(+SUM(P44:P47),0)</f>
        <v>24093</v>
      </c>
      <c r="Q48" s="31"/>
      <c r="R48" s="773" t="s">
        <v>186</v>
      </c>
      <c r="S48" s="774"/>
      <c r="T48" s="77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1424391</v>
      </c>
      <c r="G50" s="257">
        <f>+ROUND(G25+G30+G37+G42+G48,0)</f>
        <v>5718137</v>
      </c>
      <c r="H50" s="15"/>
      <c r="I50" s="258">
        <f>+ROUND(I25+I30+I37+I42+I48,0)</f>
        <v>3590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1427981</v>
      </c>
      <c r="P50" s="380">
        <f>+ROUND(P25+P30+P37+P42+P48,0)</f>
        <v>5718137</v>
      </c>
      <c r="Q50" s="106"/>
      <c r="R50" s="785" t="s">
        <v>187</v>
      </c>
      <c r="S50" s="786"/>
      <c r="T50" s="78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1094486</v>
      </c>
      <c r="G53" s="259">
        <v>5618381</v>
      </c>
      <c r="H53" s="15"/>
      <c r="I53" s="260">
        <v>1442</v>
      </c>
      <c r="J53" s="259">
        <v>157992</v>
      </c>
      <c r="K53" s="227"/>
      <c r="L53" s="260"/>
      <c r="M53" s="259"/>
      <c r="N53" s="227"/>
      <c r="O53" s="366">
        <f aca="true" t="shared" si="4" ref="O53:P57">+ROUND(+F53+I53+L53,0)</f>
        <v>1095928</v>
      </c>
      <c r="P53" s="359">
        <f t="shared" si="4"/>
        <v>5776373</v>
      </c>
      <c r="Q53" s="31"/>
      <c r="R53" s="753" t="s">
        <v>188</v>
      </c>
      <c r="S53" s="754"/>
      <c r="T53" s="75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12734</v>
      </c>
      <c r="G54" s="233">
        <v>26096</v>
      </c>
      <c r="H54" s="15"/>
      <c r="I54" s="234"/>
      <c r="J54" s="233"/>
      <c r="K54" s="227"/>
      <c r="L54" s="234"/>
      <c r="M54" s="233"/>
      <c r="N54" s="227"/>
      <c r="O54" s="361">
        <f t="shared" si="4"/>
        <v>12734</v>
      </c>
      <c r="P54" s="384">
        <f t="shared" si="4"/>
        <v>26096</v>
      </c>
      <c r="Q54" s="31"/>
      <c r="R54" s="764" t="s">
        <v>166</v>
      </c>
      <c r="S54" s="765"/>
      <c r="T54" s="76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1692</v>
      </c>
      <c r="G55" s="233">
        <v>4117</v>
      </c>
      <c r="H55" s="15"/>
      <c r="I55" s="234"/>
      <c r="J55" s="233"/>
      <c r="K55" s="227"/>
      <c r="L55" s="234"/>
      <c r="M55" s="233"/>
      <c r="N55" s="227"/>
      <c r="O55" s="361">
        <f t="shared" si="4"/>
        <v>1692</v>
      </c>
      <c r="P55" s="384">
        <f t="shared" si="4"/>
        <v>4117</v>
      </c>
      <c r="Q55" s="31"/>
      <c r="R55" s="764" t="s">
        <v>167</v>
      </c>
      <c r="S55" s="765"/>
      <c r="T55" s="76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2425874</v>
      </c>
      <c r="G56" s="233">
        <v>10440870</v>
      </c>
      <c r="H56" s="15"/>
      <c r="I56" s="234">
        <v>26679</v>
      </c>
      <c r="J56" s="233">
        <v>234804</v>
      </c>
      <c r="K56" s="227"/>
      <c r="L56" s="234"/>
      <c r="M56" s="233"/>
      <c r="N56" s="227"/>
      <c r="O56" s="361">
        <f t="shared" si="4"/>
        <v>2452553</v>
      </c>
      <c r="P56" s="384">
        <f t="shared" si="4"/>
        <v>10675674</v>
      </c>
      <c r="Q56" s="31"/>
      <c r="R56" s="764" t="s">
        <v>168</v>
      </c>
      <c r="S56" s="765"/>
      <c r="T56" s="76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486998</v>
      </c>
      <c r="G57" s="233">
        <v>2129274</v>
      </c>
      <c r="H57" s="15"/>
      <c r="I57" s="234">
        <v>4565</v>
      </c>
      <c r="J57" s="233">
        <v>45622</v>
      </c>
      <c r="K57" s="227"/>
      <c r="L57" s="234"/>
      <c r="M57" s="233"/>
      <c r="N57" s="227"/>
      <c r="O57" s="361">
        <f t="shared" si="4"/>
        <v>491563</v>
      </c>
      <c r="P57" s="384">
        <f t="shared" si="4"/>
        <v>2174896</v>
      </c>
      <c r="Q57" s="31"/>
      <c r="R57" s="770" t="s">
        <v>169</v>
      </c>
      <c r="S57" s="771"/>
      <c r="T57" s="77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4021784</v>
      </c>
      <c r="G58" s="261">
        <f>+ROUND(+SUM(G53:G57),0)</f>
        <v>18218738</v>
      </c>
      <c r="H58" s="15"/>
      <c r="I58" s="262">
        <f>+ROUND(+SUM(I53:I57),0)</f>
        <v>32686</v>
      </c>
      <c r="J58" s="261">
        <f>+ROUND(+SUM(J53:J57),0)</f>
        <v>438418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4054470</v>
      </c>
      <c r="P58" s="382">
        <f>+ROUND(+SUM(P53:P57),0)</f>
        <v>18657156</v>
      </c>
      <c r="Q58" s="31"/>
      <c r="R58" s="773" t="s">
        <v>189</v>
      </c>
      <c r="S58" s="774"/>
      <c r="T58" s="77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53" t="s">
        <v>170</v>
      </c>
      <c r="S60" s="754"/>
      <c r="T60" s="75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113838</v>
      </c>
      <c r="G61" s="233">
        <v>3291229</v>
      </c>
      <c r="H61" s="15"/>
      <c r="I61" s="234"/>
      <c r="J61" s="233">
        <v>1814747</v>
      </c>
      <c r="K61" s="227"/>
      <c r="L61" s="234"/>
      <c r="M61" s="233"/>
      <c r="N61" s="227"/>
      <c r="O61" s="361">
        <f t="shared" si="5"/>
        <v>113838</v>
      </c>
      <c r="P61" s="384">
        <f t="shared" si="5"/>
        <v>5105976</v>
      </c>
      <c r="Q61" s="31"/>
      <c r="R61" s="764" t="s">
        <v>171</v>
      </c>
      <c r="S61" s="765"/>
      <c r="T61" s="76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>
        <v>80334</v>
      </c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80334</v>
      </c>
      <c r="Q62" s="31"/>
      <c r="R62" s="764" t="s">
        <v>172</v>
      </c>
      <c r="S62" s="765"/>
      <c r="T62" s="76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251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70" t="s">
        <v>190</v>
      </c>
      <c r="S63" s="771"/>
      <c r="T63" s="77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113838</v>
      </c>
      <c r="G65" s="261">
        <f>+ROUND(+SUM(G60:G63),0)</f>
        <v>3371563</v>
      </c>
      <c r="H65" s="15"/>
      <c r="I65" s="262">
        <f>+ROUND(+SUM(I60:I63),0)</f>
        <v>0</v>
      </c>
      <c r="J65" s="261">
        <f>+ROUND(+SUM(J60:J63),0)</f>
        <v>1814747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113838</v>
      </c>
      <c r="P65" s="382">
        <f>+ROUND(+SUM(P60:P63),0)</f>
        <v>5186310</v>
      </c>
      <c r="Q65" s="31"/>
      <c r="R65" s="773" t="s">
        <v>192</v>
      </c>
      <c r="S65" s="774"/>
      <c r="T65" s="77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252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53" t="s">
        <v>173</v>
      </c>
      <c r="S67" s="754"/>
      <c r="T67" s="75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64" t="s">
        <v>174</v>
      </c>
      <c r="S68" s="765"/>
      <c r="T68" s="76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73" t="s">
        <v>193</v>
      </c>
      <c r="S69" s="774"/>
      <c r="T69" s="77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68378</v>
      </c>
      <c r="G71" s="259">
        <v>201677</v>
      </c>
      <c r="H71" s="15"/>
      <c r="I71" s="260">
        <v>3290</v>
      </c>
      <c r="J71" s="259">
        <v>10750</v>
      </c>
      <c r="K71" s="227"/>
      <c r="L71" s="260"/>
      <c r="M71" s="259"/>
      <c r="N71" s="227"/>
      <c r="O71" s="366">
        <f>+ROUND(+F71+I71+L71,0)</f>
        <v>71668</v>
      </c>
      <c r="P71" s="359">
        <f>+ROUND(+G71+J71+M71,0)</f>
        <v>212427</v>
      </c>
      <c r="Q71" s="31"/>
      <c r="R71" s="753" t="s">
        <v>175</v>
      </c>
      <c r="S71" s="754"/>
      <c r="T71" s="75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64" t="s">
        <v>176</v>
      </c>
      <c r="S72" s="765"/>
      <c r="T72" s="76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68378</v>
      </c>
      <c r="G73" s="261">
        <f>+ROUND(+SUM(G71:G72),0)</f>
        <v>201677</v>
      </c>
      <c r="H73" s="15"/>
      <c r="I73" s="262">
        <f>+ROUND(+SUM(I71:I72),0)</f>
        <v>3290</v>
      </c>
      <c r="J73" s="261">
        <f>+ROUND(+SUM(J71:J72),0)</f>
        <v>10750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71668</v>
      </c>
      <c r="P73" s="382">
        <f>+ROUND(+SUM(P71:P72),0)</f>
        <v>212427</v>
      </c>
      <c r="Q73" s="31"/>
      <c r="R73" s="773" t="s">
        <v>194</v>
      </c>
      <c r="S73" s="774"/>
      <c r="T73" s="77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164693</v>
      </c>
      <c r="G75" s="259">
        <v>567623</v>
      </c>
      <c r="H75" s="15"/>
      <c r="I75" s="260">
        <v>123372</v>
      </c>
      <c r="J75" s="259">
        <v>45719</v>
      </c>
      <c r="K75" s="227"/>
      <c r="L75" s="260"/>
      <c r="M75" s="259"/>
      <c r="N75" s="227"/>
      <c r="O75" s="366">
        <f>+ROUND(+F75+I75+L75,0)</f>
        <v>288065</v>
      </c>
      <c r="P75" s="359">
        <f>+ROUND(+G75+J75+M75,0)</f>
        <v>613342</v>
      </c>
      <c r="Q75" s="31"/>
      <c r="R75" s="753" t="s">
        <v>177</v>
      </c>
      <c r="S75" s="754"/>
      <c r="T75" s="75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>
        <v>32168</v>
      </c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32168</v>
      </c>
      <c r="Q76" s="31"/>
      <c r="R76" s="764" t="s">
        <v>195</v>
      </c>
      <c r="S76" s="765"/>
      <c r="T76" s="76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164693</v>
      </c>
      <c r="G77" s="261">
        <f>+ROUND(+SUM(G75:G76),0)</f>
        <v>599791</v>
      </c>
      <c r="H77" s="15"/>
      <c r="I77" s="262">
        <f>+ROUND(+SUM(I75:I76),0)</f>
        <v>123372</v>
      </c>
      <c r="J77" s="261">
        <f>+ROUND(+SUM(J75:J76),0)</f>
        <v>45719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288065</v>
      </c>
      <c r="P77" s="382">
        <f>+ROUND(+SUM(P75:P76),0)</f>
        <v>645510</v>
      </c>
      <c r="Q77" s="31"/>
      <c r="R77" s="773" t="s">
        <v>196</v>
      </c>
      <c r="S77" s="774"/>
      <c r="T77" s="77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257</v>
      </c>
      <c r="C79" s="183"/>
      <c r="D79" s="184"/>
      <c r="E79" s="15"/>
      <c r="F79" s="269">
        <f>+ROUND(F58+F65+F69+F73+F77,0)</f>
        <v>4368693</v>
      </c>
      <c r="G79" s="272">
        <f>+ROUND(G58+G65+G69+G73+G77,0)</f>
        <v>22391769</v>
      </c>
      <c r="H79" s="15"/>
      <c r="I79" s="269">
        <f>+ROUND(I58+I65+I69+I73+I77,0)</f>
        <v>159348</v>
      </c>
      <c r="J79" s="272">
        <f>+ROUND(J58+J65+J69+J73+J77,0)</f>
        <v>2309634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4528041</v>
      </c>
      <c r="P79" s="392">
        <f>+ROUND(P58+P65+P69+P73+P77,0)</f>
        <v>24701403</v>
      </c>
      <c r="Q79" s="31"/>
      <c r="R79" s="788" t="s">
        <v>197</v>
      </c>
      <c r="S79" s="789"/>
      <c r="T79" s="79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256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3178513</v>
      </c>
      <c r="G81" s="229">
        <v>17571903</v>
      </c>
      <c r="H81" s="15"/>
      <c r="I81" s="230">
        <v>211973</v>
      </c>
      <c r="J81" s="229">
        <v>2217984</v>
      </c>
      <c r="K81" s="227"/>
      <c r="L81" s="230"/>
      <c r="M81" s="229"/>
      <c r="N81" s="227"/>
      <c r="O81" s="365">
        <f>+ROUND(+F81+I81+L81,0)</f>
        <v>3390486</v>
      </c>
      <c r="P81" s="378">
        <f>+ROUND(+G81+J81+M81,0)</f>
        <v>19789887</v>
      </c>
      <c r="Q81" s="31"/>
      <c r="R81" s="753" t="s">
        <v>178</v>
      </c>
      <c r="S81" s="754"/>
      <c r="T81" s="75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>
        <v>48650</v>
      </c>
      <c r="G82" s="233">
        <v>-40333</v>
      </c>
      <c r="H82" s="15"/>
      <c r="I82" s="234">
        <v>-48650</v>
      </c>
      <c r="J82" s="233">
        <v>40333</v>
      </c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64" t="s">
        <v>179</v>
      </c>
      <c r="S82" s="765"/>
      <c r="T82" s="76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258</v>
      </c>
      <c r="C83" s="142"/>
      <c r="D83" s="143"/>
      <c r="E83" s="15"/>
      <c r="F83" s="271">
        <f>+ROUND(F81+F82,0)</f>
        <v>3227163</v>
      </c>
      <c r="G83" s="270">
        <f>+ROUND(G81+G82,0)</f>
        <v>17531570</v>
      </c>
      <c r="H83" s="15"/>
      <c r="I83" s="271">
        <f>+ROUND(I81+I82,0)</f>
        <v>163323</v>
      </c>
      <c r="J83" s="270">
        <f>+ROUND(J81+J82,0)</f>
        <v>2258317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3390486</v>
      </c>
      <c r="P83" s="387">
        <f>+ROUND(P81+P82,0)</f>
        <v>19789887</v>
      </c>
      <c r="Q83" s="31"/>
      <c r="R83" s="791" t="s">
        <v>198</v>
      </c>
      <c r="S83" s="792"/>
      <c r="T83" s="79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4"/>
      <c r="D84" s="745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259</v>
      </c>
      <c r="C85" s="138"/>
      <c r="D85" s="139"/>
      <c r="E85" s="15"/>
      <c r="F85" s="292">
        <f>+ROUND(F50,0)-ROUND(F79,0)+ROUND(F83,0)</f>
        <v>282861</v>
      </c>
      <c r="G85" s="291">
        <f>+ROUND(G50,0)-ROUND(G79,0)+ROUND(G83,0)</f>
        <v>857938</v>
      </c>
      <c r="H85" s="15"/>
      <c r="I85" s="292">
        <f>+ROUND(I50,0)-ROUND(I79,0)+ROUND(I83,0)</f>
        <v>7565</v>
      </c>
      <c r="J85" s="291">
        <f>+ROUND(J50,0)-ROUND(J79,0)+ROUND(J83,0)</f>
        <v>-51317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290426</v>
      </c>
      <c r="P85" s="389">
        <f>+ROUND(P50,0)-ROUND(P79,0)+ROUND(P83,0)</f>
        <v>806621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-282861</v>
      </c>
      <c r="G86" s="293">
        <f>+ROUND(G103,0)+ROUND(G122,0)+ROUND(G129,0)-ROUND(G134,0)</f>
        <v>-857938</v>
      </c>
      <c r="H86" s="15"/>
      <c r="I86" s="294">
        <f>+ROUND(I103,0)+ROUND(I122,0)+ROUND(I129,0)-ROUND(I134,0)</f>
        <v>-7565</v>
      </c>
      <c r="J86" s="293">
        <f>+ROUND(J103,0)+ROUND(J122,0)+ROUND(J129,0)-ROUND(J134,0)</f>
        <v>51317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-290426</v>
      </c>
      <c r="P86" s="391">
        <f>+ROUND(P103,0)+ROUND(P122,0)+ROUND(P129,0)-ROUND(P134,0)</f>
        <v>-806621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>
        <v>-2</v>
      </c>
      <c r="G89" s="231">
        <v>-4</v>
      </c>
      <c r="H89" s="15"/>
      <c r="I89" s="232"/>
      <c r="J89" s="231"/>
      <c r="K89" s="227"/>
      <c r="L89" s="232"/>
      <c r="M89" s="231"/>
      <c r="N89" s="227"/>
      <c r="O89" s="360">
        <f>+ROUND(+F89+I89+L89,0)</f>
        <v>-2</v>
      </c>
      <c r="P89" s="412">
        <f>+ROUND(+G89+J89+M89,0)</f>
        <v>-4</v>
      </c>
      <c r="Q89" s="31"/>
      <c r="R89" s="753" t="s">
        <v>199</v>
      </c>
      <c r="S89" s="754"/>
      <c r="T89" s="75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253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64" t="s">
        <v>200</v>
      </c>
      <c r="S90" s="765"/>
      <c r="T90" s="76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260</v>
      </c>
      <c r="C91" s="145"/>
      <c r="D91" s="146"/>
      <c r="E91" s="15"/>
      <c r="F91" s="236">
        <f>+ROUND(+SUM(F89:F90),0)</f>
        <v>-2</v>
      </c>
      <c r="G91" s="235">
        <f>+ROUND(+SUM(G89:G90),0)</f>
        <v>-4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-2</v>
      </c>
      <c r="P91" s="363">
        <f>+ROUND(+SUM(P89:P90),0)</f>
        <v>-4</v>
      </c>
      <c r="Q91" s="31"/>
      <c r="R91" s="773" t="s">
        <v>201</v>
      </c>
      <c r="S91" s="774"/>
      <c r="T91" s="77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53" t="s">
        <v>202</v>
      </c>
      <c r="S93" s="754"/>
      <c r="T93" s="75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64" t="s">
        <v>203</v>
      </c>
      <c r="S94" s="765"/>
      <c r="T94" s="76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64" t="s">
        <v>204</v>
      </c>
      <c r="S95" s="765"/>
      <c r="T95" s="76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70" t="s">
        <v>205</v>
      </c>
      <c r="S96" s="771"/>
      <c r="T96" s="77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261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73" t="s">
        <v>206</v>
      </c>
      <c r="S97" s="774"/>
      <c r="T97" s="77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53" t="s">
        <v>207</v>
      </c>
      <c r="S99" s="754"/>
      <c r="T99" s="75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>
        <v>48998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48998</v>
      </c>
      <c r="Q100" s="31"/>
      <c r="R100" s="764" t="s">
        <v>208</v>
      </c>
      <c r="S100" s="765"/>
      <c r="T100" s="76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48998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48998</v>
      </c>
      <c r="Q101" s="31"/>
      <c r="R101" s="773" t="s">
        <v>209</v>
      </c>
      <c r="S101" s="774"/>
      <c r="T101" s="77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-2</v>
      </c>
      <c r="G103" s="257">
        <f>+ROUND(G91+G97+G101,0)</f>
        <v>48994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-2</v>
      </c>
      <c r="P103" s="380">
        <f>+ROUND(P91+P97+P101,0)</f>
        <v>48994</v>
      </c>
      <c r="Q103" s="106"/>
      <c r="R103" s="785" t="s">
        <v>210</v>
      </c>
      <c r="S103" s="786"/>
      <c r="T103" s="78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53" t="s">
        <v>211</v>
      </c>
      <c r="S106" s="754"/>
      <c r="T106" s="75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64" t="s">
        <v>212</v>
      </c>
      <c r="S107" s="765"/>
      <c r="T107" s="76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73" t="s">
        <v>213</v>
      </c>
      <c r="S108" s="774"/>
      <c r="T108" s="77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800" t="s">
        <v>214</v>
      </c>
      <c r="S110" s="801"/>
      <c r="T110" s="8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803" t="s">
        <v>215</v>
      </c>
      <c r="S111" s="804"/>
      <c r="T111" s="8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73" t="s">
        <v>216</v>
      </c>
      <c r="S112" s="774"/>
      <c r="T112" s="77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53" t="s">
        <v>217</v>
      </c>
      <c r="S114" s="754"/>
      <c r="T114" s="75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>
        <v>-30000</v>
      </c>
      <c r="G115" s="233">
        <v>-180000</v>
      </c>
      <c r="H115" s="15"/>
      <c r="I115" s="234"/>
      <c r="J115" s="233"/>
      <c r="K115" s="227"/>
      <c r="L115" s="234"/>
      <c r="M115" s="233"/>
      <c r="N115" s="227"/>
      <c r="O115" s="361">
        <f>+ROUND(+F115+I115+L115,0)</f>
        <v>-30000</v>
      </c>
      <c r="P115" s="384">
        <f>+ROUND(+G115+J115+M115,0)</f>
        <v>-180000</v>
      </c>
      <c r="Q115" s="31"/>
      <c r="R115" s="764" t="s">
        <v>218</v>
      </c>
      <c r="S115" s="765"/>
      <c r="T115" s="76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-30000</v>
      </c>
      <c r="G116" s="261">
        <f>+ROUND(+SUM(G114:G115),0)</f>
        <v>-180000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-30000</v>
      </c>
      <c r="P116" s="382">
        <f>+ROUND(+SUM(P114:P115),0)</f>
        <v>-180000</v>
      </c>
      <c r="Q116" s="31"/>
      <c r="R116" s="773" t="s">
        <v>219</v>
      </c>
      <c r="S116" s="774"/>
      <c r="T116" s="77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>
        <v>-105114</v>
      </c>
      <c r="M118" s="259">
        <v>99152</v>
      </c>
      <c r="N118" s="227"/>
      <c r="O118" s="366">
        <f>+ROUND(+F118+I118+L118,0)</f>
        <v>-105114</v>
      </c>
      <c r="P118" s="359">
        <f>+ROUND(+G118+J118+M118,0)</f>
        <v>99152</v>
      </c>
      <c r="Q118" s="31"/>
      <c r="R118" s="753" t="s">
        <v>220</v>
      </c>
      <c r="S118" s="754"/>
      <c r="T118" s="75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64" t="s">
        <v>221</v>
      </c>
      <c r="S119" s="765"/>
      <c r="T119" s="76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-105114</v>
      </c>
      <c r="M120" s="261">
        <f>+ROUND(+SUM(M118:M119),0)</f>
        <v>99152</v>
      </c>
      <c r="N120" s="227"/>
      <c r="O120" s="381">
        <f>+ROUND(+SUM(O118:O119),0)</f>
        <v>-105114</v>
      </c>
      <c r="P120" s="382">
        <f>+ROUND(+SUM(P118:P119),0)</f>
        <v>99152</v>
      </c>
      <c r="Q120" s="31"/>
      <c r="R120" s="773" t="s">
        <v>222</v>
      </c>
      <c r="S120" s="774"/>
      <c r="T120" s="77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-30000</v>
      </c>
      <c r="G122" s="272">
        <f>+ROUND(G108+G112+G116+G120,0)</f>
        <v>-180000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-105114</v>
      </c>
      <c r="M122" s="272">
        <f>+ROUND(M108+M112+M116+M120,0)</f>
        <v>99152</v>
      </c>
      <c r="N122" s="227"/>
      <c r="O122" s="385">
        <f>+ROUND(O108+O112+O116+O120,0)</f>
        <v>-135114</v>
      </c>
      <c r="P122" s="392">
        <f>+ROUND(P108+P112+P116+P120,0)</f>
        <v>-80848</v>
      </c>
      <c r="Q122" s="31"/>
      <c r="R122" s="788" t="s">
        <v>223</v>
      </c>
      <c r="S122" s="789"/>
      <c r="T122" s="79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53" t="s">
        <v>224</v>
      </c>
      <c r="S124" s="754"/>
      <c r="T124" s="75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3874</v>
      </c>
      <c r="G125" s="233">
        <v>21331</v>
      </c>
      <c r="H125" s="15"/>
      <c r="I125" s="234">
        <v>-3874</v>
      </c>
      <c r="J125" s="233">
        <v>-21331</v>
      </c>
      <c r="K125" s="227"/>
      <c r="L125" s="234"/>
      <c r="M125" s="233"/>
      <c r="N125" s="227"/>
      <c r="O125" s="361">
        <f t="shared" si="7"/>
        <v>0</v>
      </c>
      <c r="P125" s="384">
        <f t="shared" si="7"/>
        <v>0</v>
      </c>
      <c r="Q125" s="31"/>
      <c r="R125" s="764" t="s">
        <v>225</v>
      </c>
      <c r="S125" s="765"/>
      <c r="T125" s="76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94" t="s">
        <v>287</v>
      </c>
      <c r="S126" s="795"/>
      <c r="T126" s="79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282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806" t="s">
        <v>283</v>
      </c>
      <c r="S127" s="807"/>
      <c r="T127" s="80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97" t="s">
        <v>226</v>
      </c>
      <c r="S128" s="798"/>
      <c r="T128" s="79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3874</v>
      </c>
      <c r="G129" s="270">
        <f>+ROUND(+SUM(G124,G125,G126,G128),0)</f>
        <v>21331</v>
      </c>
      <c r="H129" s="15"/>
      <c r="I129" s="271">
        <f>+ROUND(+SUM(I124,I125,I126,I128),0)</f>
        <v>-3874</v>
      </c>
      <c r="J129" s="270">
        <f>+ROUND(+SUM(J124,J125,J126,J128),0)</f>
        <v>-21331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0</v>
      </c>
      <c r="P129" s="387">
        <f>+ROUND(+SUM(P124,P125,P126,P128),0)</f>
        <v>0</v>
      </c>
      <c r="Q129" s="31"/>
      <c r="R129" s="791" t="s">
        <v>227</v>
      </c>
      <c r="S129" s="792"/>
      <c r="T129" s="79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293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3956373</v>
      </c>
      <c r="G131" s="229">
        <v>3208110</v>
      </c>
      <c r="H131" s="15"/>
      <c r="I131" s="230">
        <v>459</v>
      </c>
      <c r="J131" s="229">
        <v>73107</v>
      </c>
      <c r="K131" s="227"/>
      <c r="L131" s="230">
        <v>849356</v>
      </c>
      <c r="M131" s="229">
        <v>750204</v>
      </c>
      <c r="N131" s="227"/>
      <c r="O131" s="365">
        <f aca="true" t="shared" si="8" ref="O131:P133">+ROUND(+F131+I131+L131,0)</f>
        <v>4806188</v>
      </c>
      <c r="P131" s="378">
        <f t="shared" si="8"/>
        <v>4031421</v>
      </c>
      <c r="Q131" s="31"/>
      <c r="R131" s="753" t="s">
        <v>228</v>
      </c>
      <c r="S131" s="754"/>
      <c r="T131" s="75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292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64" t="s">
        <v>229</v>
      </c>
      <c r="S132" s="765"/>
      <c r="T132" s="76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4213106</v>
      </c>
      <c r="G133" s="233">
        <v>3956373</v>
      </c>
      <c r="H133" s="15"/>
      <c r="I133" s="234">
        <v>4150</v>
      </c>
      <c r="J133" s="233">
        <v>459</v>
      </c>
      <c r="K133" s="227"/>
      <c r="L133" s="234">
        <v>744242</v>
      </c>
      <c r="M133" s="233">
        <v>849356</v>
      </c>
      <c r="N133" s="227"/>
      <c r="O133" s="361">
        <f t="shared" si="8"/>
        <v>4961498</v>
      </c>
      <c r="P133" s="384">
        <f t="shared" si="8"/>
        <v>4806188</v>
      </c>
      <c r="Q133" s="31"/>
      <c r="R133" s="814" t="s">
        <v>230</v>
      </c>
      <c r="S133" s="815"/>
      <c r="T133" s="81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294</v>
      </c>
      <c r="C134" s="178"/>
      <c r="D134" s="179"/>
      <c r="E134" s="15"/>
      <c r="F134" s="276">
        <f>+ROUND(+F133-F131-F132,0)</f>
        <v>256733</v>
      </c>
      <c r="G134" s="275">
        <f>+ROUND(+G133-G131-G132,0)</f>
        <v>748263</v>
      </c>
      <c r="H134" s="15"/>
      <c r="I134" s="276">
        <f>+ROUND(+I133-I131-I132,0)</f>
        <v>3691</v>
      </c>
      <c r="J134" s="275">
        <f>+ROUND(+J133-J131-J132,0)</f>
        <v>-72648</v>
      </c>
      <c r="K134" s="227"/>
      <c r="L134" s="276">
        <f>+ROUND(+L133-L131-L132,0)</f>
        <v>-105114</v>
      </c>
      <c r="M134" s="275">
        <f>+ROUND(+M133-M131-M132,0)</f>
        <v>99152</v>
      </c>
      <c r="N134" s="227"/>
      <c r="O134" s="394">
        <f>+ROUND(+O133-O131-O132,0)</f>
        <v>155310</v>
      </c>
      <c r="P134" s="395">
        <f>+ROUND(+P133-P131-P132,0)</f>
        <v>774767</v>
      </c>
      <c r="Q134" s="31"/>
      <c r="R134" s="811" t="s">
        <v>296</v>
      </c>
      <c r="S134" s="812"/>
      <c r="T134" s="81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6"/>
      <c r="D135" s="746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295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290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06" t="s">
        <v>322</v>
      </c>
      <c r="S137" s="707"/>
      <c r="T137" s="70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298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09" t="s">
        <v>319</v>
      </c>
      <c r="S138" s="710"/>
      <c r="T138" s="71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291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12" t="s">
        <v>318</v>
      </c>
      <c r="S139" s="713"/>
      <c r="T139" s="71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323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15" t="s">
        <v>297</v>
      </c>
      <c r="S140" s="716"/>
      <c r="T140" s="71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302</v>
      </c>
      <c r="C142" s="536"/>
      <c r="D142" s="537"/>
      <c r="E142" s="15"/>
      <c r="F142" s="538">
        <f>+F134+F140</f>
        <v>256733</v>
      </c>
      <c r="G142" s="539">
        <f>+G134+G140</f>
        <v>748263</v>
      </c>
      <c r="H142" s="15"/>
      <c r="I142" s="538">
        <f>+I134+I140</f>
        <v>3691</v>
      </c>
      <c r="J142" s="539">
        <f>+J134+J140</f>
        <v>-72648</v>
      </c>
      <c r="K142" s="227"/>
      <c r="L142" s="538">
        <f>+L134+L140</f>
        <v>-105114</v>
      </c>
      <c r="M142" s="539">
        <f>+M134+M140</f>
        <v>99152</v>
      </c>
      <c r="N142" s="227"/>
      <c r="O142" s="394">
        <f>+O134+O140</f>
        <v>155310</v>
      </c>
      <c r="P142" s="395">
        <f>+P134+P140</f>
        <v>774767</v>
      </c>
      <c r="Q142" s="31"/>
      <c r="R142" s="718" t="s">
        <v>299</v>
      </c>
      <c r="S142" s="719"/>
      <c r="T142" s="72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14042022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21" t="s">
        <v>459</v>
      </c>
      <c r="G148" s="722"/>
      <c r="H148" s="722"/>
      <c r="I148" s="723"/>
      <c r="J148" s="346"/>
      <c r="K148" s="16"/>
      <c r="L148" s="346" t="s">
        <v>234</v>
      </c>
      <c r="M148" s="721" t="s">
        <v>460</v>
      </c>
      <c r="N148" s="722"/>
      <c r="O148" s="722"/>
      <c r="P148" s="72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273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274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275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276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327</v>
      </c>
      <c r="G159" s="569" t="s">
        <v>327</v>
      </c>
      <c r="I159" s="571" t="s">
        <v>324</v>
      </c>
      <c r="J159" s="573" t="s">
        <v>324</v>
      </c>
      <c r="K159" s="11"/>
      <c r="L159" s="574" t="s">
        <v>325</v>
      </c>
      <c r="M159" s="575" t="s">
        <v>325</v>
      </c>
      <c r="N159" s="11"/>
      <c r="O159" s="587" t="s">
        <v>326</v>
      </c>
      <c r="P159" s="588" t="s">
        <v>326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332</v>
      </c>
      <c r="C160" s="566"/>
      <c r="D160" s="567"/>
      <c r="F160" s="579">
        <f>+F133+F139</f>
        <v>4213106</v>
      </c>
      <c r="G160" s="580">
        <f>+G133+G139</f>
        <v>3956373</v>
      </c>
      <c r="I160" s="579">
        <f>+I133+I139</f>
        <v>4150</v>
      </c>
      <c r="J160" s="580">
        <f>+J133+J139</f>
        <v>459</v>
      </c>
      <c r="K160" s="227"/>
      <c r="L160" s="579">
        <f>+L133+L139</f>
        <v>744242</v>
      </c>
      <c r="M160" s="580">
        <f>+M133+M139</f>
        <v>849356</v>
      </c>
      <c r="N160" s="227"/>
      <c r="O160" s="583">
        <f>+ROUND(+F160+I160+L160,0)</f>
        <v>4961498</v>
      </c>
      <c r="P160" s="584">
        <f>+ROUND(+G160+J160+M160,0)</f>
        <v>4806188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328</v>
      </c>
      <c r="C161" s="702">
        <f>+'Cash-Flow-2022-Leva'!P5</f>
        <v>2022</v>
      </c>
      <c r="D161" s="703"/>
      <c r="F161" s="576">
        <v>4213106</v>
      </c>
      <c r="G161" s="577">
        <v>3956373</v>
      </c>
      <c r="I161" s="576">
        <v>4150</v>
      </c>
      <c r="J161" s="577">
        <v>459</v>
      </c>
      <c r="K161" s="227"/>
      <c r="L161" s="576">
        <v>744242</v>
      </c>
      <c r="M161" s="577">
        <v>849356</v>
      </c>
      <c r="N161" s="227"/>
      <c r="O161" s="585">
        <f>+ROUND(+F161+I161+L161,0)</f>
        <v>4961498</v>
      </c>
      <c r="P161" s="586">
        <f>+ROUND(+G161+J161+M161,0)</f>
        <v>4806188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31.03.2022 г.</v>
      </c>
      <c r="G162" s="570">
        <f>+G11</f>
        <v>2021</v>
      </c>
      <c r="I162" s="609" t="str">
        <f>+I11</f>
        <v>31.03.2022 г.</v>
      </c>
      <c r="J162" s="572">
        <f>+J11</f>
        <v>2021</v>
      </c>
      <c r="K162" s="11"/>
      <c r="L162" s="610" t="str">
        <f>+L11</f>
        <v>31.03.2022 г.</v>
      </c>
      <c r="M162" s="575">
        <f>+M11</f>
        <v>2021</v>
      </c>
      <c r="N162" s="11"/>
      <c r="O162" s="611" t="str">
        <f>+O11</f>
        <v>31.03.2022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329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333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330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331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818">
        <f>+IF(F171&gt;0,"БЮДЖЕТ",0)</f>
        <v>0</v>
      </c>
      <c r="G170" s="818"/>
      <c r="I170" s="818">
        <f>+IF(I171&gt;0,"СЕС",0)</f>
        <v>0</v>
      </c>
      <c r="J170" s="818"/>
      <c r="K170" s="11"/>
      <c r="L170" s="818">
        <f>+IF(L171&gt;0,"ДСД",0)</f>
        <v>0</v>
      </c>
      <c r="M170" s="818"/>
      <c r="N170" s="11"/>
      <c r="O170" s="818">
        <f>+IF(O171&gt;0,"Общо (Б-т + СЕС + ДСД)",0)</f>
        <v>0</v>
      </c>
      <c r="P170" s="81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818">
        <f>+COUNTIF(F168:G168,"&lt;&gt;0")</f>
        <v>0</v>
      </c>
      <c r="G171" s="818"/>
      <c r="I171" s="818">
        <f>+COUNTIF(I168:J168,"&lt;&gt;0")</f>
        <v>0</v>
      </c>
      <c r="J171" s="818"/>
      <c r="K171" s="11"/>
      <c r="L171" s="818">
        <f>+COUNTIF(L168:M168,"&lt;&gt;0")</f>
        <v>0</v>
      </c>
      <c r="M171" s="818"/>
      <c r="N171" s="11"/>
      <c r="O171" s="818">
        <f>+COUNTIF(O168:P168,"&lt;&gt;0")</f>
        <v>0</v>
      </c>
      <c r="P171" s="81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817">
        <f>+IF(O174&gt;0,"ВСИЧКО: Б-т + СЕС + ДСД + Общо",0)</f>
        <v>0</v>
      </c>
      <c r="P173" s="81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817">
        <f>+SUM(F171:P171)</f>
        <v>0</v>
      </c>
      <c r="P174" s="81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3 K131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7" sqref="M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19" t="str">
        <f>+'Cash-Flow-2022-Leva'!B1:F1</f>
        <v>ОБЩИНА  ИХТИМАН</v>
      </c>
      <c r="C1" s="820"/>
      <c r="D1" s="820"/>
      <c r="E1" s="820"/>
      <c r="F1" s="821"/>
      <c r="G1" s="438" t="s">
        <v>244</v>
      </c>
      <c r="H1" s="121"/>
      <c r="I1" s="822">
        <f>+'Cash-Flow-2022-Leva'!I1:J1</f>
        <v>776299</v>
      </c>
      <c r="J1" s="823"/>
      <c r="K1" s="439"/>
      <c r="L1" s="440" t="s">
        <v>245</v>
      </c>
      <c r="M1" s="441">
        <f>+'Cash-Flow-2022-Leva'!M1</f>
        <v>7311</v>
      </c>
      <c r="N1" s="439"/>
      <c r="O1" s="440" t="s">
        <v>239</v>
      </c>
      <c r="P1" s="451">
        <f>+'Cash-Flow-2022-Leva'!P1</f>
        <v>0</v>
      </c>
      <c r="Q1" s="444"/>
      <c r="R1" s="448" t="s">
        <v>233</v>
      </c>
      <c r="S1" s="824">
        <f>+'Cash-Flow-2022-Leva'!$S$1</f>
        <v>0</v>
      </c>
      <c r="T1" s="82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26" t="s">
        <v>249</v>
      </c>
      <c r="C2" s="827"/>
      <c r="D2" s="827"/>
      <c r="E2" s="827"/>
      <c r="F2" s="82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29" t="str">
        <f>+'Cash-Flow-2022-Leva'!B3:F3</f>
        <v>ГР.  ИХТИМАН, УЛ. ЦАР  ОСВОБОДИТЕЛ №123</v>
      </c>
      <c r="C3" s="830"/>
      <c r="D3" s="830"/>
      <c r="E3" s="830"/>
      <c r="F3" s="831"/>
      <c r="G3" s="445" t="s">
        <v>238</v>
      </c>
      <c r="H3" s="832">
        <f>+'Cash-Flow-2022-Leva'!H3</f>
        <v>0</v>
      </c>
      <c r="I3" s="833"/>
      <c r="J3" s="833"/>
      <c r="K3" s="834"/>
      <c r="L3" s="51" t="s">
        <v>246</v>
      </c>
      <c r="M3" s="835">
        <f>+'Cash-Flow-2022-Leva'!M3:P3</f>
        <v>0</v>
      </c>
      <c r="N3" s="836"/>
      <c r="O3" s="836"/>
      <c r="P3" s="83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04">
        <f>+'Cash-Flow-2022-Leva'!B5</f>
        <v>0</v>
      </c>
      <c r="C5" s="704"/>
      <c r="D5" s="839" t="s">
        <v>243</v>
      </c>
      <c r="E5" s="839"/>
      <c r="F5" s="839"/>
      <c r="G5" s="839"/>
      <c r="H5" s="839"/>
      <c r="I5" s="839"/>
      <c r="J5" s="839"/>
      <c r="K5" s="839"/>
      <c r="L5" s="839"/>
      <c r="M5" s="39"/>
      <c r="N5" s="39"/>
      <c r="O5" s="53" t="s">
        <v>17</v>
      </c>
      <c r="P5" s="449">
        <f>+'Cash-Flow-2022-Leva'!P5</f>
        <v>2022</v>
      </c>
      <c r="Q5" s="39"/>
      <c r="R5" s="838" t="s">
        <v>180</v>
      </c>
      <c r="S5" s="838"/>
      <c r="T5" s="838"/>
      <c r="U5" s="6"/>
    </row>
    <row r="6" spans="1:28" s="3" customFormat="1" ht="17.25" customHeight="1">
      <c r="A6" s="6"/>
      <c r="B6" s="847">
        <f>+'Cash-Flow-2022-Leva'!B6</f>
        <v>0</v>
      </c>
      <c r="C6" s="847"/>
      <c r="D6" s="839" t="s">
        <v>242</v>
      </c>
      <c r="E6" s="839"/>
      <c r="F6" s="839"/>
      <c r="G6" s="839"/>
      <c r="H6" s="839"/>
      <c r="I6" s="839"/>
      <c r="J6" s="839"/>
      <c r="K6" s="839"/>
      <c r="L6" s="839"/>
      <c r="M6" s="42"/>
      <c r="N6" s="5"/>
      <c r="O6" s="6"/>
      <c r="P6" s="6"/>
      <c r="Q6" s="1"/>
      <c r="R6" s="840">
        <f>+P4</f>
        <v>0</v>
      </c>
      <c r="S6" s="840"/>
      <c r="T6" s="84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41" t="str">
        <f>+B1</f>
        <v>ОБЩИНА  ИХТИМАН</v>
      </c>
      <c r="E8" s="841"/>
      <c r="F8" s="841"/>
      <c r="G8" s="841"/>
      <c r="H8" s="841"/>
      <c r="I8" s="841"/>
      <c r="J8" s="841"/>
      <c r="K8" s="841"/>
      <c r="L8" s="841"/>
      <c r="M8" s="446" t="s">
        <v>247</v>
      </c>
      <c r="N8" s="5"/>
      <c r="O8" s="612" t="str">
        <f>+'Cash-Flow-2022-Leva'!O8</f>
        <v>31.03.2022 г.</v>
      </c>
      <c r="P8" s="447" t="s">
        <v>8</v>
      </c>
      <c r="Q8" s="1"/>
      <c r="R8" s="842">
        <f>+P5</f>
        <v>2022</v>
      </c>
      <c r="S8" s="843"/>
      <c r="T8" s="84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31.03.2022 г.</v>
      </c>
      <c r="G11" s="396">
        <f>+'Cash-Flow-2022-Leva'!G11</f>
        <v>2021</v>
      </c>
      <c r="H11" s="5"/>
      <c r="I11" s="604" t="str">
        <f>+O8</f>
        <v>31.03.2022 г.</v>
      </c>
      <c r="J11" s="397">
        <f>+'Cash-Flow-2022-Leva'!J11</f>
        <v>2021</v>
      </c>
      <c r="K11" s="5"/>
      <c r="L11" s="605" t="str">
        <f>+O8</f>
        <v>31.03.2022 г.</v>
      </c>
      <c r="M11" s="398">
        <f>+'Cash-Flow-2022-Leva'!M11</f>
        <v>2021</v>
      </c>
      <c r="N11" s="464"/>
      <c r="O11" s="606" t="str">
        <f>+O8</f>
        <v>31.03.2022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436.045</v>
      </c>
      <c r="G15" s="255">
        <f>+'Cash-Flow-2022-Leva'!G15/1000</f>
        <v>1565.92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436.045</v>
      </c>
      <c r="P15" s="378">
        <f aca="true" t="shared" si="1" ref="P15:P24">+G15+J15+M15</f>
        <v>1565.92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284</v>
      </c>
      <c r="C16" s="152"/>
      <c r="D16" s="153"/>
      <c r="E16" s="277"/>
      <c r="F16" s="268">
        <f>+'Cash-Flow-2022-Leva'!F16/1000</f>
        <v>527.722</v>
      </c>
      <c r="G16" s="267">
        <f>+'Cash-Flow-2022-Leva'!G16/1000</f>
        <v>2251.33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527.722</v>
      </c>
      <c r="P16" s="384">
        <f t="shared" si="1"/>
        <v>2251.33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286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23.994</v>
      </c>
      <c r="G18" s="255">
        <f>+'Cash-Flow-2022-Leva'!G18/1000</f>
        <v>97.874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23.994</v>
      </c>
      <c r="P18" s="378">
        <f t="shared" si="1"/>
        <v>97.874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42.722</v>
      </c>
      <c r="G19" s="278">
        <f>+'Cash-Flow-2022-Leva'!G19/1000</f>
        <v>960.869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42.722</v>
      </c>
      <c r="P19" s="412">
        <f t="shared" si="1"/>
        <v>960.869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49.209</v>
      </c>
      <c r="G20" s="278">
        <f>+'Cash-Flow-2022-Leva'!G20/1000</f>
        <v>191.08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49.209</v>
      </c>
      <c r="P20" s="412">
        <f t="shared" si="1"/>
        <v>191.08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78.571</v>
      </c>
      <c r="G21" s="278">
        <f>+'Cash-Flow-2022-Leva'!G21/1000</f>
        <v>129.969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78.571</v>
      </c>
      <c r="P21" s="412">
        <f t="shared" si="1"/>
        <v>129.969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0</v>
      </c>
      <c r="G22" s="278">
        <f>+'Cash-Flow-2022-Leva'!G22/1000</f>
        <v>0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0.992</v>
      </c>
      <c r="G24" s="267">
        <f>+'Cash-Flow-2022-Leva'!G24/1000</f>
        <v>116.83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0.992</v>
      </c>
      <c r="P24" s="384">
        <f t="shared" si="1"/>
        <v>116.83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1159.255</v>
      </c>
      <c r="G25" s="235">
        <f>+SUM(G15,G16,G18,G19,G20,G21,G22,G23,G24)</f>
        <v>5313.871999999999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1159.255</v>
      </c>
      <c r="P25" s="363">
        <f>+SUM(P15,P16,P18,P19,P20,P21,P22,P23,P24)</f>
        <v>5313.871999999999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256.284</v>
      </c>
      <c r="G27" s="255">
        <f>+'Cash-Flow-2022-Leva'!G27/1000</f>
        <v>466.238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256.284</v>
      </c>
      <c r="P27" s="378">
        <f t="shared" si="2"/>
        <v>466.238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20.76</v>
      </c>
      <c r="G28" s="278">
        <f>+'Cash-Flow-2022-Leva'!G28/1000</f>
        <v>242.371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20.76</v>
      </c>
      <c r="P28" s="412">
        <f t="shared" si="2"/>
        <v>242.371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254</v>
      </c>
      <c r="C30" s="145"/>
      <c r="D30" s="146"/>
      <c r="E30" s="277"/>
      <c r="F30" s="236">
        <f>+SUM(F27:F29)</f>
        <v>277.044</v>
      </c>
      <c r="G30" s="235">
        <f>+SUM(G27:G29)</f>
        <v>708.609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277.044</v>
      </c>
      <c r="P30" s="363">
        <f>+SUM(P27:P29)</f>
        <v>708.609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255</v>
      </c>
      <c r="C37" s="145"/>
      <c r="D37" s="146"/>
      <c r="E37" s="277"/>
      <c r="F37" s="236">
        <f>+'Cash-Flow-2022-Leva'!F37/1000</f>
        <v>-11.908</v>
      </c>
      <c r="G37" s="235">
        <f>+'Cash-Flow-2022-Leva'!G37/1000</f>
        <v>-330.189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-11.908</v>
      </c>
      <c r="P37" s="363">
        <f t="shared" si="3"/>
        <v>-330.189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-11.892</v>
      </c>
      <c r="G38" s="280">
        <f>+'Cash-Flow-2022-Leva'!G38/1000</f>
        <v>-298.223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-11.892</v>
      </c>
      <c r="P38" s="413">
        <f t="shared" si="3"/>
        <v>-298.223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-0.016</v>
      </c>
      <c r="G39" s="282">
        <f>+'Cash-Flow-2022-Leva'!G39/1000</f>
        <v>-31.966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-0.016</v>
      </c>
      <c r="P39" s="414">
        <f t="shared" si="3"/>
        <v>-31.966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1.752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1.752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0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250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3.59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3.59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24.093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24.093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24.093</v>
      </c>
      <c r="H48" s="277"/>
      <c r="I48" s="236">
        <f>+SUM(I44:I47)</f>
        <v>3.59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3.59</v>
      </c>
      <c r="P48" s="363">
        <f>+SUM(P44:P47)</f>
        <v>24.093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1424.391</v>
      </c>
      <c r="G50" s="257">
        <f>+G25+G30+G37+G42+G48</f>
        <v>5718.137</v>
      </c>
      <c r="H50" s="277"/>
      <c r="I50" s="258">
        <f>+I25+I30+I37+I42+I48</f>
        <v>3.59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1427.981</v>
      </c>
      <c r="P50" s="380">
        <f>+P25+P30+P37+P42+P48</f>
        <v>5718.137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1094.486</v>
      </c>
      <c r="G53" s="228">
        <f>+'Cash-Flow-2022-Leva'!G53/1000</f>
        <v>5618.381</v>
      </c>
      <c r="H53" s="277"/>
      <c r="I53" s="238">
        <f>+'Cash-Flow-2022-Leva'!I53/1000</f>
        <v>1.442</v>
      </c>
      <c r="J53" s="228">
        <f>+'Cash-Flow-2022-Leva'!J53/1000</f>
        <v>157.992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1095.928</v>
      </c>
      <c r="P53" s="359">
        <f t="shared" si="5"/>
        <v>5776.3730000000005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12.734</v>
      </c>
      <c r="G54" s="267">
        <f>+'Cash-Flow-2022-Leva'!G54/1000</f>
        <v>26.096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12.734</v>
      </c>
      <c r="P54" s="384">
        <f t="shared" si="5"/>
        <v>26.096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1.692</v>
      </c>
      <c r="G55" s="267">
        <f>+'Cash-Flow-2022-Leva'!G55/1000</f>
        <v>4.117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1.692</v>
      </c>
      <c r="P55" s="384">
        <f t="shared" si="5"/>
        <v>4.117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2425.874</v>
      </c>
      <c r="G56" s="267">
        <f>+'Cash-Flow-2022-Leva'!G56/1000</f>
        <v>10440.87</v>
      </c>
      <c r="H56" s="277"/>
      <c r="I56" s="268">
        <f>+'Cash-Flow-2022-Leva'!I56/1000</f>
        <v>26.679</v>
      </c>
      <c r="J56" s="267">
        <f>+'Cash-Flow-2022-Leva'!J56/1000</f>
        <v>234.804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2452.553</v>
      </c>
      <c r="P56" s="384">
        <f t="shared" si="5"/>
        <v>10675.674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486.998</v>
      </c>
      <c r="G57" s="267">
        <f>+'Cash-Flow-2022-Leva'!G57/1000</f>
        <v>2129.274</v>
      </c>
      <c r="H57" s="277"/>
      <c r="I57" s="268">
        <f>+'Cash-Flow-2022-Leva'!I57/1000</f>
        <v>4.565</v>
      </c>
      <c r="J57" s="267">
        <f>+'Cash-Flow-2022-Leva'!J57/1000</f>
        <v>45.622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491.563</v>
      </c>
      <c r="P57" s="384">
        <f t="shared" si="5"/>
        <v>2174.8959999999997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4021.784</v>
      </c>
      <c r="G58" s="261">
        <f>+SUM(G53:G57)</f>
        <v>18218.738</v>
      </c>
      <c r="H58" s="277"/>
      <c r="I58" s="262">
        <f>+SUM(I53:I57)</f>
        <v>32.686</v>
      </c>
      <c r="J58" s="261">
        <f>+SUM(J53:J57)</f>
        <v>438.418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4054.4700000000003</v>
      </c>
      <c r="P58" s="382">
        <f>+SUM(P53:P57)</f>
        <v>18657.156000000003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113.838</v>
      </c>
      <c r="G61" s="267">
        <f>+'Cash-Flow-2022-Leva'!G61/1000</f>
        <v>3291.229</v>
      </c>
      <c r="H61" s="277"/>
      <c r="I61" s="268">
        <f>+'Cash-Flow-2022-Leva'!I61/1000</f>
        <v>0</v>
      </c>
      <c r="J61" s="267">
        <f>+'Cash-Flow-2022-Leva'!J61/1000</f>
        <v>1814.747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113.838</v>
      </c>
      <c r="P61" s="384">
        <f t="shared" si="6"/>
        <v>5105.976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</v>
      </c>
      <c r="G62" s="267">
        <f>+'Cash-Flow-2022-Leva'!G62/1000</f>
        <v>80.334</v>
      </c>
      <c r="H62" s="277"/>
      <c r="I62" s="268">
        <f>+'Cash-Flow-2022-Leva'!I62/1000</f>
        <v>0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0</v>
      </c>
      <c r="P62" s="384">
        <f t="shared" si="6"/>
        <v>80.334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251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113.838</v>
      </c>
      <c r="G65" s="261">
        <f>+SUM(G60:G63)</f>
        <v>3371.5629999999996</v>
      </c>
      <c r="H65" s="277"/>
      <c r="I65" s="262">
        <f>+SUM(I60:I63)</f>
        <v>0</v>
      </c>
      <c r="J65" s="261">
        <f>+SUM(J60:J63)</f>
        <v>1814.747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113.838</v>
      </c>
      <c r="P65" s="382">
        <f>+SUM(P60:P63)</f>
        <v>5186.3099999999995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252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68.378</v>
      </c>
      <c r="G71" s="228">
        <f>+'Cash-Flow-2022-Leva'!G71/1000</f>
        <v>201.677</v>
      </c>
      <c r="H71" s="277"/>
      <c r="I71" s="238">
        <f>+'Cash-Flow-2022-Leva'!I71/1000</f>
        <v>3.29</v>
      </c>
      <c r="J71" s="228">
        <f>+'Cash-Flow-2022-Leva'!J71/1000</f>
        <v>10.75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71.668</v>
      </c>
      <c r="P71" s="359">
        <f>+G71+J71+M71</f>
        <v>212.427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68.378</v>
      </c>
      <c r="G73" s="261">
        <f>+SUM(G71:G72)</f>
        <v>201.677</v>
      </c>
      <c r="H73" s="277"/>
      <c r="I73" s="262">
        <f>+SUM(I71:I72)</f>
        <v>3.29</v>
      </c>
      <c r="J73" s="261">
        <f>+SUM(J71:J72)</f>
        <v>10.75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71.668</v>
      </c>
      <c r="P73" s="382">
        <f>+SUM(P71:P72)</f>
        <v>212.427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164.693</v>
      </c>
      <c r="G75" s="228">
        <f>+'Cash-Flow-2022-Leva'!G75/1000</f>
        <v>567.623</v>
      </c>
      <c r="H75" s="277"/>
      <c r="I75" s="238">
        <f>+'Cash-Flow-2022-Leva'!I75/1000</f>
        <v>123.372</v>
      </c>
      <c r="J75" s="228">
        <f>+'Cash-Flow-2022-Leva'!J75/1000</f>
        <v>45.719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288.065</v>
      </c>
      <c r="P75" s="359">
        <f>+G75+J75+M75</f>
        <v>613.3420000000001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32.168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32.168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164.693</v>
      </c>
      <c r="G77" s="261">
        <f>+SUM(G75:G76)</f>
        <v>599.791</v>
      </c>
      <c r="H77" s="277"/>
      <c r="I77" s="262">
        <f>+SUM(I75:I76)</f>
        <v>123.372</v>
      </c>
      <c r="J77" s="261">
        <f>+SUM(J75:J76)</f>
        <v>45.719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288.065</v>
      </c>
      <c r="P77" s="382">
        <f>+SUM(P75:P76)</f>
        <v>645.5100000000001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257</v>
      </c>
      <c r="C79" s="183"/>
      <c r="D79" s="184"/>
      <c r="E79" s="277"/>
      <c r="F79" s="269">
        <f>+F58+F65+F69+F73+F77</f>
        <v>4368.693</v>
      </c>
      <c r="G79" s="272">
        <f>+G58+G65+G69+G73+G77</f>
        <v>22391.769</v>
      </c>
      <c r="H79" s="277"/>
      <c r="I79" s="269">
        <f>+I58+I65+I69+I73+I77</f>
        <v>159.348</v>
      </c>
      <c r="J79" s="272">
        <f>+J58+J65+J69+J73+J77</f>
        <v>2309.634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4528.040999999999</v>
      </c>
      <c r="P79" s="392">
        <f>+P58+P65+P69+P73+P77</f>
        <v>24701.403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256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3178.513</v>
      </c>
      <c r="G81" s="255">
        <f>+'Cash-Flow-2022-Leva'!G81/1000</f>
        <v>17571.903</v>
      </c>
      <c r="H81" s="277"/>
      <c r="I81" s="256">
        <f>+'Cash-Flow-2022-Leva'!I81/1000</f>
        <v>211.973</v>
      </c>
      <c r="J81" s="255">
        <f>+'Cash-Flow-2022-Leva'!J81/1000</f>
        <v>2217.984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3390.486</v>
      </c>
      <c r="P81" s="378">
        <f>+G81+J81+M81</f>
        <v>19789.887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48.65</v>
      </c>
      <c r="G82" s="267">
        <f>+'Cash-Flow-2022-Leva'!G82/1000</f>
        <v>-40.333</v>
      </c>
      <c r="H82" s="277"/>
      <c r="I82" s="268">
        <f>+'Cash-Flow-2022-Leva'!I82/1000</f>
        <v>-48.65</v>
      </c>
      <c r="J82" s="267">
        <f>+'Cash-Flow-2022-Leva'!J82/1000</f>
        <v>40.333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258</v>
      </c>
      <c r="C83" s="142"/>
      <c r="D83" s="143"/>
      <c r="E83" s="277"/>
      <c r="F83" s="271">
        <f>+F81+F82</f>
        <v>3227.163</v>
      </c>
      <c r="G83" s="270">
        <f>+G81+G82</f>
        <v>17531.57</v>
      </c>
      <c r="H83" s="277"/>
      <c r="I83" s="271">
        <f>+I81+I82</f>
        <v>163.323</v>
      </c>
      <c r="J83" s="270">
        <f>+J81+J82</f>
        <v>2258.317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3390.486</v>
      </c>
      <c r="P83" s="387">
        <f>+P81+P82</f>
        <v>19789.887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4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46"/>
      <c r="D84" s="846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259</v>
      </c>
      <c r="C85" s="138"/>
      <c r="D85" s="139"/>
      <c r="E85" s="277"/>
      <c r="F85" s="292">
        <f>+F50-F79+F83</f>
        <v>282.8609999999999</v>
      </c>
      <c r="G85" s="291">
        <f>+G50-G79+G83</f>
        <v>857.9379999999983</v>
      </c>
      <c r="H85" s="277"/>
      <c r="I85" s="292">
        <f>+I50-I79+I83</f>
        <v>7.564999999999998</v>
      </c>
      <c r="J85" s="291">
        <f>+J50-J79+J83</f>
        <v>-51.31700000000001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290.4260000000004</v>
      </c>
      <c r="P85" s="389">
        <f>+P50-P79+P83</f>
        <v>806.6209999999992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-282.8609999999997</v>
      </c>
      <c r="G86" s="293">
        <f>+G103+G122+G129-G134</f>
        <v>-857.9379999999999</v>
      </c>
      <c r="H86" s="277"/>
      <c r="I86" s="294">
        <f>+I103+I122+I129-I134</f>
        <v>-7.565</v>
      </c>
      <c r="J86" s="293">
        <f>+J103+J122+J129-J134</f>
        <v>51.31699999999999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-290.4259999999995</v>
      </c>
      <c r="P86" s="391">
        <f>+P103+P122+P129-P134</f>
        <v>-806.6209999999999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-0.002</v>
      </c>
      <c r="G89" s="278">
        <f>+'Cash-Flow-2022-Leva'!G89/1000</f>
        <v>-0.004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-0.002</v>
      </c>
      <c r="P89" s="412">
        <f>+G89+J89+M89</f>
        <v>-0.004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253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260</v>
      </c>
      <c r="C91" s="145"/>
      <c r="D91" s="146"/>
      <c r="E91" s="277"/>
      <c r="F91" s="236">
        <f>+SUM(F89:F90)</f>
        <v>-0.002</v>
      </c>
      <c r="G91" s="235">
        <f>+SUM(G89:G90)</f>
        <v>-0.004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-0.002</v>
      </c>
      <c r="P91" s="363">
        <f>+SUM(P89:P90)</f>
        <v>-0.004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261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0</v>
      </c>
      <c r="G100" s="267">
        <f>+'Cash-Flow-2022-Leva'!G100/1000</f>
        <v>48.998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0</v>
      </c>
      <c r="P100" s="384">
        <f>+G100+J100+M100</f>
        <v>48.998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48.998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0</v>
      </c>
      <c r="P101" s="363">
        <f>+SUM(P99:P100)</f>
        <v>48.998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-0.002</v>
      </c>
      <c r="G103" s="257">
        <f>+G91+G97+G101</f>
        <v>48.994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-0.002</v>
      </c>
      <c r="P103" s="380">
        <f>+P91+P97+P101</f>
        <v>48.994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-30</v>
      </c>
      <c r="G115" s="267">
        <f>+'Cash-Flow-2022-Leva'!G115/1000</f>
        <v>-180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-30</v>
      </c>
      <c r="P115" s="384">
        <f>+G115+J115+M115</f>
        <v>-180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-30</v>
      </c>
      <c r="G116" s="261">
        <f>+SUM(G114:G115)</f>
        <v>-180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-30</v>
      </c>
      <c r="P116" s="382">
        <f>+SUM(P114:P115)</f>
        <v>-180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0</v>
      </c>
      <c r="G118" s="228">
        <f>+'Cash-Flow-2022-Leva'!G118/1000</f>
        <v>0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-105.114</v>
      </c>
      <c r="M118" s="228">
        <f>+'Cash-Flow-2022-Leva'!M118/1000</f>
        <v>99.152</v>
      </c>
      <c r="N118" s="465"/>
      <c r="O118" s="366">
        <f>+F118+I118+L118</f>
        <v>-105.114</v>
      </c>
      <c r="P118" s="359">
        <f>+G118+J118+M118</f>
        <v>99.152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-105.114</v>
      </c>
      <c r="M120" s="261">
        <f>+SUM(M118:M119)</f>
        <v>99.152</v>
      </c>
      <c r="N120" s="465"/>
      <c r="O120" s="381">
        <f>+SUM(O118:O119)</f>
        <v>-105.114</v>
      </c>
      <c r="P120" s="382">
        <f>+SUM(P118:P119)</f>
        <v>99.152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-30</v>
      </c>
      <c r="G122" s="272">
        <f>+G108+G112+G116+G120</f>
        <v>-180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-105.114</v>
      </c>
      <c r="M122" s="272">
        <f>+M108+M112+M116+M120</f>
        <v>99.152</v>
      </c>
      <c r="N122" s="465"/>
      <c r="O122" s="385">
        <f>+O108+O112+O116+O120</f>
        <v>-135.114</v>
      </c>
      <c r="P122" s="392">
        <f>+P108+P112+P116+P120</f>
        <v>-80.848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3.874</v>
      </c>
      <c r="G125" s="267">
        <f>+'Cash-Flow-2022-Leva'!G125/1000</f>
        <v>21.331</v>
      </c>
      <c r="H125" s="277"/>
      <c r="I125" s="268">
        <f>+'Cash-Flow-2022-Leva'!I125/1000</f>
        <v>-3.874</v>
      </c>
      <c r="J125" s="267">
        <f>+'Cash-Flow-2022-Leva'!J125/1000</f>
        <v>-21.331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0</v>
      </c>
      <c r="P125" s="384">
        <f t="shared" si="8"/>
        <v>0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0</v>
      </c>
      <c r="G126" s="267">
        <f>+'Cash-Flow-2022-Leva'!G126/1000</f>
        <v>0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282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3.874</v>
      </c>
      <c r="G129" s="270">
        <f>+SUM(G124,G125,G126,G128)</f>
        <v>21.331</v>
      </c>
      <c r="H129" s="277"/>
      <c r="I129" s="271">
        <f>+SUM(I124,I125,I126,I128)</f>
        <v>-3.874</v>
      </c>
      <c r="J129" s="270">
        <f>+SUM(J124,J125,J126,J128)</f>
        <v>-21.331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0</v>
      </c>
      <c r="P129" s="387">
        <f>+SUM(P124,P125,P126,P128)</f>
        <v>0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3956.373</v>
      </c>
      <c r="G131" s="255">
        <f>+'Cash-Flow-2022-Leva'!G131/1000</f>
        <v>3208.11</v>
      </c>
      <c r="H131" s="277"/>
      <c r="I131" s="256">
        <f>+'Cash-Flow-2022-Leva'!I131/1000</f>
        <v>0.459</v>
      </c>
      <c r="J131" s="255">
        <f>+'Cash-Flow-2022-Leva'!J131/1000</f>
        <v>73.107</v>
      </c>
      <c r="K131" s="277"/>
      <c r="L131" s="256">
        <f>+'Cash-Flow-2022-Leva'!L131/1000</f>
        <v>849.356</v>
      </c>
      <c r="M131" s="255">
        <f>+'Cash-Flow-2022-Leva'!M131/1000</f>
        <v>750.204</v>
      </c>
      <c r="N131" s="465"/>
      <c r="O131" s="365">
        <f aca="true" t="shared" si="9" ref="O131:P133">+F131+I131+L131</f>
        <v>4806.188</v>
      </c>
      <c r="P131" s="378">
        <f t="shared" si="9"/>
        <v>4031.4210000000003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292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4213.106</v>
      </c>
      <c r="G133" s="267">
        <f>+'Cash-Flow-2022-Leva'!G133/1000</f>
        <v>3956.373</v>
      </c>
      <c r="H133" s="277"/>
      <c r="I133" s="268">
        <f>+'Cash-Flow-2022-Leva'!I133/1000</f>
        <v>4.15</v>
      </c>
      <c r="J133" s="267">
        <f>+'Cash-Flow-2022-Leva'!J133/1000</f>
        <v>0.459</v>
      </c>
      <c r="K133" s="277"/>
      <c r="L133" s="268">
        <f>+'Cash-Flow-2022-Leva'!L133/1000</f>
        <v>744.242</v>
      </c>
      <c r="M133" s="267">
        <f>+'Cash-Flow-2022-Leva'!M133/1000</f>
        <v>849.356</v>
      </c>
      <c r="N133" s="465"/>
      <c r="O133" s="361">
        <f t="shared" si="9"/>
        <v>4961.498</v>
      </c>
      <c r="P133" s="384">
        <f t="shared" si="9"/>
        <v>4806.188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256.7329999999997</v>
      </c>
      <c r="G134" s="275">
        <f>+G133-G131-G132</f>
        <v>748.2629999999999</v>
      </c>
      <c r="H134" s="277"/>
      <c r="I134" s="276">
        <f>+I133-I131-I132</f>
        <v>3.6910000000000003</v>
      </c>
      <c r="J134" s="275">
        <f>+J133-J131-J132</f>
        <v>-72.648</v>
      </c>
      <c r="K134" s="277"/>
      <c r="L134" s="276">
        <f>+L133-L131-L132</f>
        <v>-105.11400000000003</v>
      </c>
      <c r="M134" s="275">
        <f>+M133-M131-M132</f>
        <v>99.15200000000004</v>
      </c>
      <c r="N134" s="465"/>
      <c r="O134" s="394">
        <f>+O133-O131-O132</f>
        <v>155.3099999999995</v>
      </c>
      <c r="P134" s="395">
        <f>+P133-P131-P132</f>
        <v>774.7669999999998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4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45"/>
      <c r="D135" s="845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295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290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298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291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323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302</v>
      </c>
      <c r="C142" s="536"/>
      <c r="D142" s="537"/>
      <c r="E142" s="277"/>
      <c r="F142" s="276">
        <f>+F134+F140</f>
        <v>256.7329999999997</v>
      </c>
      <c r="G142" s="275">
        <f>+G134+G140</f>
        <v>748.2629999999999</v>
      </c>
      <c r="H142" s="277"/>
      <c r="I142" s="538">
        <f>+I134+I140</f>
        <v>3.6910000000000003</v>
      </c>
      <c r="J142" s="539">
        <f>+J134+J140</f>
        <v>-72.648</v>
      </c>
      <c r="K142" s="277"/>
      <c r="L142" s="538">
        <f>+L134+L140</f>
        <v>-105.11400000000003</v>
      </c>
      <c r="M142" s="539">
        <f>+M134+M140</f>
        <v>99.15200000000004</v>
      </c>
      <c r="N142" s="465"/>
      <c r="O142" s="563">
        <f>+O134+O140</f>
        <v>155.3099999999995</v>
      </c>
      <c r="P142" s="564">
        <f>+P134+P140</f>
        <v>774.7669999999998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14042022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273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274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271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272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321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320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katia</cp:lastModifiedBy>
  <cp:lastPrinted>2020-03-18T16:57:49Z</cp:lastPrinted>
  <dcterms:created xsi:type="dcterms:W3CDTF">2015-12-01T07:17:04Z</dcterms:created>
  <dcterms:modified xsi:type="dcterms:W3CDTF">2022-04-16T13:15:32Z</dcterms:modified>
  <cp:category/>
  <cp:version/>
  <cp:contentType/>
  <cp:contentStatus/>
</cp:coreProperties>
</file>