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<sst xmlns="http://schemas.openxmlformats.org/spreadsheetml/2006/main" count="673" uniqueCount="458">
  <si>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</si>
  <si>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</si>
  <si>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</si>
  <si>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</si>
  <si>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</si>
  <si>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</si>
  <si>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</si>
  <si>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</si>
  <si>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</si>
  <si>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</si>
  <si>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</si>
  <si>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</si>
  <si>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</si>
  <si>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</si>
  <si>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</si>
  <si>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</si>
  <si>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</si>
  <si>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</si>
  <si>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</si>
  <si>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</si>
  <si>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</si>
  <si>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</si>
  <si>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</si>
  <si>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</si>
  <si>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</si>
  <si>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</si>
  <si>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</si>
  <si>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</si>
  <si>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</si>
  <si>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</si>
  <si>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</si>
  <si>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</si>
  <si>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</si>
  <si>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</si>
  <si>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</si>
  <si>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</si>
  <si>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</si>
  <si>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</si>
  <si>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</si>
  <si>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</si>
  <si>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</si>
  <si>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</si>
  <si>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</si>
  <si>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</si>
  <si>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</si>
  <si>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</si>
  <si>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</si>
  <si>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</si>
  <si>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</si>
  <si>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</si>
  <si>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</si>
  <si>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</si>
  <si>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</si>
  <si>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</si>
  <si>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</si>
  <si>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</si>
  <si>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</si>
  <si>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</si>
  <si>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</si>
  <si>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</si>
  <si>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</si>
  <si>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</si>
  <si>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</si>
  <si>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</si>
  <si>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</si>
  <si>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</si>
  <si>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</si>
  <si>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</si>
  <si>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</si>
  <si>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</si>
  <si>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</si>
  <si>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</si>
  <si>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</si>
  <si>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</si>
  <si>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</si>
  <si>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</si>
  <si>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</si>
  <si>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</si>
  <si>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</si>
  <si>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</si>
  <si>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</si>
  <si>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</si>
  <si>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</si>
  <si>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</si>
  <si>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</si>
  <si>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</si>
  <si>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</si>
  <si>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</si>
  <si>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</si>
  <si>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</si>
  <si>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</si>
  <si>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</si>
  <si>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</si>
  <si>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</si>
  <si>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</si>
  <si>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</si>
  <si>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</si>
  <si>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</si>
  <si>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</si>
  <si>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</si>
  <si>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</si>
  <si>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</si>
  <si>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</si>
  <si>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</si>
  <si>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</si>
  <si>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</si>
  <si>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</si>
  <si>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</si>
  <si>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</si>
  <si>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</si>
  <si>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</si>
  <si>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</si>
  <si>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</si>
  <si>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</si>
  <si>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</si>
  <si>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</si>
  <si>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</si>
  <si>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</si>
  <si>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</si>
  <si>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</si>
  <si>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</si>
  <si>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</si>
  <si>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</si>
  <si>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</si>
  <si>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</si>
  <si>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</si>
  <si>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</si>
  <si>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</si>
  <si>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</si>
  <si>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</si>
  <si>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</si>
  <si>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</si>
  <si>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</si>
  <si>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</si>
  <si>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</si>
  <si>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</si>
  <si>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</si>
  <si>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</si>
  <si>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</si>
  <si>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</si>
  <si>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</si>
  <si>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</si>
  <si>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</si>
  <si>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</si>
  <si>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</si>
  <si>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</si>
  <si>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</si>
  <si>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</si>
  <si>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</si>
  <si>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</si>
  <si>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</si>
  <si>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</si>
  <si>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</si>
  <si>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</si>
  <si>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</si>
  <si>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</si>
  <si>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</si>
  <si>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</si>
  <si>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</si>
  <si>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</si>
  <si>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</si>
  <si>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</si>
  <si>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</si>
  <si>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</si>
  <si>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</si>
  <si>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</si>
  <si>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</si>
  <si>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</si>
  <si>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</si>
  <si>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</si>
  <si>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</si>
  <si>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</si>
  <si>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</si>
  <si>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</si>
  <si>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</si>
  <si>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</si>
  <si>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</si>
  <si>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</si>
  <si>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</si>
  <si>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</si>
  <si>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</si>
  <si>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</si>
  <si>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</si>
  <si>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</si>
  <si>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</si>
  <si>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</si>
  <si>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</si>
  <si>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</si>
  <si>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</si>
  <si>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</si>
  <si>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</si>
  <si>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</si>
  <si>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</si>
  <si>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</si>
  <si>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</si>
  <si>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</si>
  <si>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</si>
  <si>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</si>
  <si>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</si>
  <si>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</si>
  <si>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</si>
  <si>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</si>
  <si>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</si>
  <si>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</si>
  <si>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</si>
  <si>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</si>
  <si>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</si>
  <si>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</si>
  <si>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</si>
  <si>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</si>
  <si>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</si>
  <si>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</si>
  <si>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</si>
  <si>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</si>
  <si>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</si>
  <si>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</si>
  <si>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</si>
  <si>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</si>
  <si>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</si>
  <si>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</si>
  <si>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</si>
  <si>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</si>
  <si>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</si>
  <si>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</si>
  <si>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</si>
  <si>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</si>
  <si>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</si>
  <si>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</si>
  <si>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</si>
  <si>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</si>
  <si>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</si>
  <si>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</si>
  <si>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</si>
  <si>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</si>
  <si>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</si>
  <si>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</si>
  <si>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</si>
  <si>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</si>
  <si>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</si>
  <si>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</si>
  <si>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</si>
  <si>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</si>
  <si>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</si>
  <si>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</si>
  <si>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</si>
  <si>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</si>
  <si>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</si>
  <si>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</si>
  <si>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</si>
  <si>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</si>
  <si>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</si>
  <si>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</si>
  <si>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</si>
  <si>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</si>
  <si>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</si>
  <si>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</si>
  <si>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</si>
  <si>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</si>
  <si>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</si>
  <si>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</si>
  <si>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</si>
  <si>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</si>
  <si>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</si>
  <si>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</si>
  <si>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</si>
  <si>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</si>
  <si>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</si>
  <si>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</si>
  <si>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</si>
  <si>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</si>
  <si>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</si>
  <si>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</si>
  <si>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</si>
  <si>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</si>
  <si>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</si>
  <si>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</si>
  <si>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</si>
  <si>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</si>
  <si>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</si>
  <si>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</si>
  <si>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</si>
  <si>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</si>
  <si>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</si>
  <si>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</si>
  <si>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</si>
  <si>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</si>
  <si>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</si>
  <si>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</si>
  <si>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</si>
  <si>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</si>
  <si>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</si>
  <si>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</si>
  <si>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</si>
  <si>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</si>
  <si>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</si>
  <si>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</si>
  <si>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</si>
  <si>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</si>
  <si>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</si>
  <si>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</si>
  <si>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</si>
  <si>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</si>
  <si>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</si>
  <si>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</si>
  <si>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</si>
  <si>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</si>
  <si>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</si>
  <si>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</si>
  <si>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</si>
  <si>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</si>
  <si>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</si>
  <si>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</si>
  <si>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</si>
  <si>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</si>
  <si>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</si>
  <si>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</si>
  <si>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</si>
  <si>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</si>
  <si>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</si>
  <si>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</si>
  <si>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</si>
  <si>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</si>
  <si>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</si>
  <si>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</si>
  <si>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</si>
  <si>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</si>
  <si>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</si>
  <si>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</si>
  <si>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</si>
  <si>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</si>
  <si>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</si>
  <si>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</si>
  <si>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</si>
  <si>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</si>
  <si>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</si>
  <si>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</si>
  <si>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</si>
  <si>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</si>
  <si>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</si>
  <si>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</si>
  <si>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</si>
  <si>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</si>
  <si>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</si>
  <si>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</si>
  <si>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</si>
  <si>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</si>
  <si>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</si>
  <si>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</si>
  <si>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</si>
  <si>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</si>
  <si>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</si>
  <si>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</si>
  <si>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</si>
  <si>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</si>
  <si>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</si>
  <si>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</si>
  <si>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</si>
  <si>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</si>
  <si>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</si>
  <si>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</si>
  <si>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</si>
  <si>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</si>
  <si>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</si>
  <si>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</si>
  <si>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</si>
  <si>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</si>
  <si>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</si>
  <si>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</si>
  <si>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</si>
  <si>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</si>
  <si>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</si>
  <si>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</si>
  <si>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</si>
  <si>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</si>
  <si>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</si>
  <si>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</si>
  <si>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</si>
  <si>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</si>
  <si>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</si>
  <si>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</si>
  <si>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</si>
  <si>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</si>
  <si>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</si>
  <si>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</si>
  <si>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</si>
  <si>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</si>
  <si>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</si>
  <si>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</si>
  <si>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</si>
  <si>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</si>
  <si>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</si>
  <si>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</si>
  <si>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</si>
  <si>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</si>
  <si>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</si>
  <si>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</si>
  <si>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</si>
  <si>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</si>
  <si>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</si>
  <si>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</si>
  <si>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</si>
  <si>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</si>
  <si>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</si>
  <si>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</si>
  <si>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</si>
  <si>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</si>
  <si>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</si>
  <si>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</si>
  <si>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</si>
  <si>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</si>
  <si>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</si>
  <si>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</si>
  <si>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</si>
  <si>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</si>
  <si>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</si>
  <si>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</si>
  <si>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</si>
  <si>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</si>
  <si>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</si>
  <si>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</si>
  <si>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</si>
  <si>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</si>
  <si>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</si>
  <si>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</si>
  <si>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</si>
  <si>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</si>
  <si>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</si>
  <si>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</si>
  <si>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</si>
  <si>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</si>
  <si>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</si>
  <si>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</si>
  <si>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</si>
  <si>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</si>
  <si>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</si>
  <si>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</si>
  <si>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</si>
  <si>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</si>
  <si>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</si>
  <si>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</si>
  <si>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</si>
  <si>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</si>
  <si>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</si>
  <si>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</si>
  <si>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</si>
  <si>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</si>
  <si>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</si>
  <si>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</si>
  <si>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</si>
  <si>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</si>
  <si>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</si>
  <si>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</si>
  <si>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</si>
  <si>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</si>
  <si>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 ИХТИМАН</t>
  </si>
  <si>
    <t>ГР. ИХТИМАН, УЛ. ЦАР ОСВОБОДИТЕЛ №123</t>
  </si>
  <si>
    <t>БЕАТРИЧЕ  ТЪРНАДЖИЙСКА</t>
  </si>
  <si>
    <t>КАЛОЯН  ИЛИЕВ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</si>
</sst>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6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1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49" fillId="40" borderId="25" xfId="33" applyFont="1" applyFill="1" applyBorder="1">
      <alignment/>
      <protection/>
    </xf>
    <xf numFmtId="0" fontId="151" fillId="40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9" xfId="0" applyNumberFormat="1" applyFont="1" applyFill="1" applyBorder="1" applyAlignment="1" applyProtection="1">
      <alignment horizontal="center"/>
      <protection/>
    </xf>
    <xf numFmtId="166" fontId="12" fillId="26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41" applyNumberFormat="1" applyFont="1" applyFill="1" applyBorder="1" applyAlignment="1" applyProtection="1">
      <alignment/>
      <protection/>
    </xf>
    <xf numFmtId="38" fontId="23" fillId="43" borderId="56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3" fillId="43" borderId="45" xfId="41" applyNumberFormat="1" applyFont="1" applyFill="1" applyBorder="1" applyAlignment="1" applyProtection="1">
      <alignment/>
      <protection/>
    </xf>
    <xf numFmtId="38" fontId="23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61" xfId="41" applyNumberFormat="1" applyFont="1" applyFill="1" applyBorder="1" applyAlignment="1" applyProtection="1">
      <alignment/>
      <protection/>
    </xf>
    <xf numFmtId="38" fontId="23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58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23" fillId="43" borderId="45" xfId="41" applyNumberFormat="1" applyFont="1" applyFill="1" applyBorder="1" applyAlignment="1" applyProtection="1">
      <alignment horizontal="center"/>
      <protection/>
    </xf>
    <xf numFmtId="38" fontId="23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6" fontId="5" fillId="39" borderId="68" xfId="36" applyNumberFormat="1" applyFont="1" applyFill="1" applyBorder="1" applyAlignment="1" applyProtection="1">
      <alignment horizontal="left"/>
      <protection/>
    </xf>
    <xf numFmtId="166" fontId="5" fillId="39" borderId="40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26" borderId="84" xfId="0" applyNumberFormat="1" applyFont="1" applyFill="1" applyBorder="1" applyAlignment="1" applyProtection="1">
      <alignment/>
      <protection/>
    </xf>
    <xf numFmtId="176" fontId="3" fillId="26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36" applyNumberFormat="1" applyFont="1" applyFill="1" applyBorder="1" applyAlignment="1" applyProtection="1">
      <alignment/>
      <protection/>
    </xf>
    <xf numFmtId="0" fontId="164" fillId="48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6" fillId="50" borderId="29" xfId="40" applyNumberFormat="1" applyFont="1" applyFill="1" applyBorder="1" applyAlignment="1" applyProtection="1">
      <alignment horizontal="center" vertical="center"/>
      <protection locked="0"/>
    </xf>
    <xf numFmtId="166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8" fillId="33" borderId="29" xfId="40" applyNumberFormat="1" applyFont="1" applyFill="1" applyBorder="1" applyAlignment="1" applyProtection="1">
      <alignment horizontal="center" vertical="center"/>
      <protection/>
    </xf>
    <xf numFmtId="164" fontId="169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26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8" xfId="0" applyNumberFormat="1" applyFont="1" applyFill="1" applyBorder="1" applyAlignment="1" applyProtection="1" quotePrefix="1">
      <alignment/>
      <protection/>
    </xf>
    <xf numFmtId="166" fontId="171" fillId="26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40" applyFont="1" applyFill="1" applyBorder="1" applyProtection="1">
      <alignment/>
      <protection/>
    </xf>
    <xf numFmtId="0" fontId="32" fillId="33" borderId="45" xfId="40" applyFont="1" applyFill="1" applyBorder="1" applyProtection="1">
      <alignment/>
      <protection/>
    </xf>
    <xf numFmtId="0" fontId="32" fillId="33" borderId="31" xfId="40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26" borderId="121" xfId="0" applyNumberFormat="1" applyFont="1" applyFill="1" applyBorder="1" applyAlignment="1" applyProtection="1">
      <alignment horizontal="center"/>
      <protection/>
    </xf>
    <xf numFmtId="166" fontId="31" fillId="26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77" fillId="43" borderId="44" xfId="41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8" xfId="0" applyNumberFormat="1" applyFont="1" applyFill="1" applyBorder="1" applyAlignment="1" applyProtection="1">
      <alignment/>
      <protection/>
    </xf>
    <xf numFmtId="176" fontId="3" fillId="26" borderId="58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6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7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89" fontId="23" fillId="26" borderId="71" xfId="34" applyNumberFormat="1" applyFont="1" applyFill="1" applyBorder="1" applyAlignment="1">
      <alignment/>
      <protection/>
    </xf>
    <xf numFmtId="189" fontId="23" fillId="26" borderId="18" xfId="34" applyNumberFormat="1" applyFont="1" applyFill="1" applyBorder="1" applyAlignment="1">
      <alignment/>
      <protection/>
    </xf>
    <xf numFmtId="189" fontId="23" fillId="26" borderId="21" xfId="34" applyNumberFormat="1" applyFont="1" applyFill="1" applyBorder="1" applyAlignment="1">
      <alignment/>
      <protection/>
    </xf>
    <xf numFmtId="189" fontId="23" fillId="45" borderId="71" xfId="34" applyNumberFormat="1" applyFont="1" applyFill="1" applyBorder="1" applyAlignment="1">
      <alignment/>
      <protection/>
    </xf>
    <xf numFmtId="189" fontId="23" fillId="45" borderId="18" xfId="34" applyNumberFormat="1" applyFont="1" applyFill="1" applyBorder="1" applyAlignment="1">
      <alignment/>
      <protection/>
    </xf>
    <xf numFmtId="189" fontId="23" fillId="45" borderId="21" xfId="34" applyNumberFormat="1" applyFont="1" applyFill="1" applyBorder="1" applyAlignment="1">
      <alignment/>
      <protection/>
    </xf>
    <xf numFmtId="193" fontId="23" fillId="33" borderId="0" xfId="33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41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34" applyNumberFormat="1" applyFont="1" applyFill="1" applyBorder="1" applyAlignment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71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26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4" fontId="19" fillId="37" borderId="0" xfId="34" applyNumberFormat="1" applyFont="1" applyFill="1" applyAlignment="1" applyProtection="1">
      <alignment vertical="center"/>
      <protection/>
    </xf>
    <xf numFmtId="0" fontId="19" fillId="37" borderId="0" xfId="34" applyFont="1" applyFill="1" applyBorder="1" applyAlignment="1" applyProtection="1">
      <alignment vertical="center"/>
      <protection/>
    </xf>
    <xf numFmtId="0" fontId="19" fillId="37" borderId="0" xfId="34" applyFont="1" applyFill="1">
      <alignment/>
      <protection/>
    </xf>
    <xf numFmtId="0" fontId="19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left"/>
      <protection/>
    </xf>
    <xf numFmtId="168" fontId="25" fillId="45" borderId="0" xfId="33" applyNumberFormat="1" applyFont="1" applyFill="1" applyBorder="1" applyAlignment="1">
      <alignment horizontal="center"/>
      <protection/>
    </xf>
    <xf numFmtId="171" fontId="25" fillId="45" borderId="0" xfId="33" applyNumberFormat="1" applyFont="1" applyFill="1" applyBorder="1" applyAlignment="1">
      <alignment horizontal="center"/>
      <protection/>
    </xf>
    <xf numFmtId="168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3" fillId="45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0" fontId="18" fillId="26" borderId="71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0" fontId="23" fillId="38" borderId="0" xfId="33" applyNumberFormat="1" applyFont="1" applyFill="1" applyBorder="1" applyAlignment="1">
      <alignment/>
      <protection/>
    </xf>
    <xf numFmtId="202" fontId="23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3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69" fontId="23" fillId="26" borderId="20" xfId="33" applyNumberFormat="1" applyFont="1" applyFill="1" applyBorder="1">
      <alignment/>
      <protection/>
    </xf>
    <xf numFmtId="168" fontId="23" fillId="26" borderId="20" xfId="33" applyNumberFormat="1" applyFont="1" applyFill="1" applyBorder="1" applyAlignment="1">
      <alignment horizontal="left"/>
      <protection/>
    </xf>
    <xf numFmtId="192" fontId="23" fillId="33" borderId="0" xfId="33" applyNumberFormat="1" applyFont="1" applyFill="1" applyBorder="1" applyAlignment="1">
      <alignment horizontal="center"/>
      <protection/>
    </xf>
    <xf numFmtId="194" fontId="57" fillId="26" borderId="19" xfId="34" applyNumberFormat="1" applyFont="1" applyFill="1" applyBorder="1" applyAlignment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190" fontId="57" fillId="45" borderId="0" xfId="34" applyNumberFormat="1" applyFont="1" applyFill="1" applyBorder="1" applyAlignment="1">
      <alignment horizontal="center"/>
      <protection/>
    </xf>
    <xf numFmtId="195" fontId="57" fillId="26" borderId="0" xfId="34" applyNumberFormat="1" applyFont="1" applyFill="1" applyBorder="1" applyAlignment="1">
      <alignment horizontal="center"/>
      <protection/>
    </xf>
    <xf numFmtId="196" fontId="57" fillId="26" borderId="20" xfId="34" applyNumberFormat="1" applyFont="1" applyFill="1" applyBorder="1" applyAlignment="1">
      <alignment horizontal="center"/>
      <protection/>
    </xf>
    <xf numFmtId="187" fontId="23" fillId="33" borderId="0" xfId="34" applyNumberFormat="1" applyFont="1" applyFill="1" applyBorder="1" applyAlignment="1">
      <alignment horizontal="center"/>
      <protection/>
    </xf>
    <xf numFmtId="187" fontId="23" fillId="45" borderId="0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195" fontId="57" fillId="45" borderId="0" xfId="34" applyNumberFormat="1" applyFont="1" applyFill="1" applyBorder="1" applyAlignment="1">
      <alignment horizontal="center"/>
      <protection/>
    </xf>
    <xf numFmtId="196" fontId="57" fillId="45" borderId="20" xfId="34" applyNumberFormat="1" applyFont="1" applyFill="1" applyBorder="1" applyAlignment="1">
      <alignment horizontal="center"/>
      <protection/>
    </xf>
    <xf numFmtId="194" fontId="57" fillId="45" borderId="19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202" fontId="23" fillId="33" borderId="0" xfId="34" applyNumberFormat="1" applyFont="1" applyFill="1" applyBorder="1" applyAlignment="1">
      <alignment horizontal="center"/>
      <protection/>
    </xf>
    <xf numFmtId="171" fontId="23" fillId="45" borderId="0" xfId="33" applyNumberFormat="1" applyFont="1" applyFill="1" applyBorder="1" applyAlignment="1">
      <alignment horizontal="center"/>
      <protection/>
    </xf>
    <xf numFmtId="187" fontId="23" fillId="26" borderId="0" xfId="34" applyNumberFormat="1" applyFont="1" applyFill="1" applyBorder="1" applyAlignment="1">
      <alignment horizontal="center"/>
      <protection/>
    </xf>
    <xf numFmtId="189" fontId="57" fillId="45" borderId="19" xfId="34" applyNumberFormat="1" applyFont="1" applyFill="1" applyBorder="1" applyAlignment="1">
      <alignment horizontal="center"/>
      <protection/>
    </xf>
    <xf numFmtId="191" fontId="57" fillId="26" borderId="20" xfId="34" applyNumberFormat="1" applyFont="1" applyFill="1" applyBorder="1" applyAlignment="1">
      <alignment horizontal="center"/>
      <protection/>
    </xf>
    <xf numFmtId="185" fontId="149" fillId="40" borderId="26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69" fontId="23" fillId="45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left"/>
      <protection/>
    </xf>
    <xf numFmtId="191" fontId="57" fillId="45" borderId="20" xfId="34" applyNumberFormat="1" applyFont="1" applyFill="1" applyBorder="1" applyAlignment="1">
      <alignment horizontal="center"/>
      <protection/>
    </xf>
    <xf numFmtId="189" fontId="57" fillId="26" borderId="19" xfId="34" applyNumberFormat="1" applyFont="1" applyFill="1" applyBorder="1" applyAlignment="1">
      <alignment horizontal="center"/>
      <protection/>
    </xf>
    <xf numFmtId="190" fontId="57" fillId="26" borderId="0" xfId="34" applyNumberFormat="1" applyFont="1" applyFill="1" applyBorder="1" applyAlignment="1">
      <alignment horizontal="center"/>
      <protection/>
    </xf>
    <xf numFmtId="168" fontId="23" fillId="26" borderId="0" xfId="33" applyNumberFormat="1" applyFont="1" applyFill="1" applyBorder="1" applyAlignment="1">
      <alignment horizontal="center"/>
      <protection/>
    </xf>
    <xf numFmtId="170" fontId="23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3" fillId="33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center"/>
      <protection/>
    </xf>
    <xf numFmtId="0" fontId="184" fillId="55" borderId="0" xfId="39" applyFont="1" applyFill="1" applyBorder="1" applyAlignment="1">
      <alignment horizontal="center"/>
      <protection/>
    </xf>
    <xf numFmtId="200" fontId="185" fillId="55" borderId="0" xfId="39" applyNumberFormat="1" applyFont="1" applyFill="1" applyBorder="1" applyAlignment="1">
      <alignment horizontal="center"/>
      <protection/>
    </xf>
    <xf numFmtId="202" fontId="23" fillId="33" borderId="0" xfId="34" applyNumberFormat="1" applyFont="1" applyFill="1" applyBorder="1" applyAlignment="1">
      <alignment horizontal="left"/>
      <protection/>
    </xf>
    <xf numFmtId="198" fontId="186" fillId="48" borderId="45" xfId="41" applyNumberFormat="1" applyFont="1" applyFill="1" applyBorder="1" applyAlignment="1" applyProtection="1">
      <alignment horizontal="left"/>
      <protection/>
    </xf>
    <xf numFmtId="198" fontId="186" fillId="48" borderId="31" xfId="41" applyNumberFormat="1" applyFont="1" applyFill="1" applyBorder="1" applyAlignment="1" applyProtection="1">
      <alignment horizontal="left"/>
      <protection/>
    </xf>
    <xf numFmtId="0" fontId="185" fillId="55" borderId="0" xfId="33" applyFont="1" applyFill="1" applyAlignment="1" applyProtection="1" quotePrefix="1">
      <alignment horizontal="center"/>
      <protection/>
    </xf>
    <xf numFmtId="201" fontId="185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87" fillId="33" borderId="49" xfId="41" applyNumberFormat="1" applyFont="1" applyFill="1" applyBorder="1" applyAlignment="1" applyProtection="1">
      <alignment horizontal="center"/>
      <protection/>
    </xf>
    <xf numFmtId="38" fontId="187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87" fillId="33" borderId="51" xfId="41" applyNumberFormat="1" applyFont="1" applyFill="1" applyBorder="1" applyAlignment="1" applyProtection="1">
      <alignment horizontal="center"/>
      <protection/>
    </xf>
    <xf numFmtId="38" fontId="187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79" fontId="149" fillId="33" borderId="30" xfId="38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30" xfId="71" applyFill="1" applyBorder="1" applyAlignment="1" applyProtection="1">
      <alignment horizontal="center" vertical="center"/>
      <protection locked="0"/>
    </xf>
    <xf numFmtId="0" fontId="188" fillId="36" borderId="45" xfId="71" applyFont="1" applyFill="1" applyBorder="1" applyAlignment="1" applyProtection="1">
      <alignment horizontal="center" vertical="center"/>
      <protection locked="0"/>
    </xf>
    <xf numFmtId="0" fontId="188" fillId="36" borderId="31" xfId="71" applyFont="1" applyFill="1" applyBorder="1" applyAlignment="1" applyProtection="1">
      <alignment horizontal="center" vertical="center"/>
      <protection locked="0"/>
    </xf>
    <xf numFmtId="38" fontId="148" fillId="33" borderId="30" xfId="71" applyNumberFormat="1" applyFill="1" applyBorder="1" applyAlignment="1" applyProtection="1">
      <alignment horizontal="center" vertical="center"/>
      <protection locked="0"/>
    </xf>
    <xf numFmtId="38" fontId="189" fillId="33" borderId="45" xfId="71" applyNumberFormat="1" applyFont="1" applyFill="1" applyBorder="1" applyAlignment="1" applyProtection="1">
      <alignment horizontal="center" vertical="center"/>
      <protection locked="0"/>
    </xf>
    <xf numFmtId="38" fontId="189" fillId="33" borderId="31" xfId="71" applyNumberFormat="1" applyFont="1" applyFill="1" applyBorder="1" applyAlignment="1" applyProtection="1">
      <alignment horizontal="center" vertical="center"/>
      <protection locked="0"/>
    </xf>
    <xf numFmtId="0" fontId="190" fillId="26" borderId="0" xfId="36" applyFont="1" applyFill="1" applyBorder="1" applyAlignment="1" applyProtection="1">
      <alignment horizontal="center"/>
      <protection/>
    </xf>
    <xf numFmtId="177" fontId="155" fillId="33" borderId="30" xfId="36" applyNumberFormat="1" applyFont="1" applyFill="1" applyBorder="1" applyAlignment="1" applyProtection="1">
      <alignment horizontal="center"/>
      <protection/>
    </xf>
    <xf numFmtId="177" fontId="155" fillId="33" borderId="45" xfId="36" applyNumberFormat="1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0" fontId="54" fillId="50" borderId="133" xfId="40" applyFont="1" applyFill="1" applyBorder="1" applyAlignment="1" applyProtection="1" quotePrefix="1">
      <alignment horizontal="center" wrapText="1"/>
      <protection locked="0"/>
    </xf>
    <xf numFmtId="0" fontId="54" fillId="50" borderId="55" xfId="40" applyFont="1" applyFill="1" applyBorder="1" applyAlignment="1" applyProtection="1">
      <alignment horizontal="center" wrapText="1"/>
      <protection locked="0"/>
    </xf>
    <xf numFmtId="0" fontId="54" fillId="50" borderId="134" xfId="40" applyFont="1" applyFill="1" applyBorder="1" applyAlignment="1" applyProtection="1">
      <alignment horizontal="center" wrapText="1"/>
      <protection locked="0"/>
    </xf>
    <xf numFmtId="0" fontId="191" fillId="26" borderId="47" xfId="33" applyFont="1" applyFill="1" applyBorder="1" applyAlignment="1" applyProtection="1" quotePrefix="1">
      <alignment horizontal="center"/>
      <protection/>
    </xf>
    <xf numFmtId="0" fontId="192" fillId="38" borderId="28" xfId="40" applyFont="1" applyFill="1" applyBorder="1" applyAlignment="1" applyProtection="1">
      <alignment horizontal="center" vertical="center" wrapText="1"/>
      <protection locked="0"/>
    </xf>
    <xf numFmtId="0" fontId="192" fillId="38" borderId="20" xfId="40" applyFont="1" applyFill="1" applyBorder="1" applyAlignment="1" applyProtection="1">
      <alignment horizontal="center" vertical="center" wrapText="1"/>
      <protection locked="0"/>
    </xf>
    <xf numFmtId="0" fontId="192" fillId="38" borderId="21" xfId="40" applyFont="1" applyFill="1" applyBorder="1" applyAlignment="1" applyProtection="1">
      <alignment horizontal="center" vertical="center" wrapText="1"/>
      <protection locked="0"/>
    </xf>
    <xf numFmtId="0" fontId="193" fillId="33" borderId="63" xfId="37" applyFont="1" applyFill="1" applyBorder="1" applyAlignment="1" applyProtection="1">
      <alignment horizontal="center"/>
      <protection/>
    </xf>
    <xf numFmtId="0" fontId="193" fillId="33" borderId="0" xfId="37" applyFont="1" applyFill="1" applyBorder="1" applyAlignment="1" applyProtection="1">
      <alignment horizontal="center"/>
      <protection/>
    </xf>
    <xf numFmtId="0" fontId="193" fillId="33" borderId="32" xfId="37" applyFont="1" applyFill="1" applyBorder="1" applyAlignment="1" applyProtection="1">
      <alignment horizontal="center"/>
      <protection/>
    </xf>
    <xf numFmtId="0" fontId="164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7" fontId="194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23" fillId="54" borderId="45" xfId="41" applyNumberFormat="1" applyFont="1" applyFill="1" applyBorder="1" applyAlignment="1" applyProtection="1">
      <alignment horizontal="center"/>
      <protection/>
    </xf>
    <xf numFmtId="38" fontId="23" fillId="54" borderId="46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5" xfId="41" applyNumberFormat="1" applyFont="1" applyFill="1" applyBorder="1" applyAlignment="1" applyProtection="1">
      <alignment horizontal="center"/>
      <protection/>
    </xf>
    <xf numFmtId="38" fontId="23" fillId="43" borderId="56" xfId="41" applyNumberFormat="1" applyFont="1" applyFill="1" applyBorder="1" applyAlignment="1" applyProtection="1">
      <alignment horizontal="center"/>
      <protection/>
    </xf>
    <xf numFmtId="38" fontId="23" fillId="43" borderId="61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43" borderId="62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58" fillId="46" borderId="67" xfId="41" applyNumberFormat="1" applyFont="1" applyFill="1" applyBorder="1" applyAlignment="1" applyProtection="1">
      <alignment horizontal="center"/>
      <protection/>
    </xf>
    <xf numFmtId="38" fontId="158" fillId="46" borderId="20" xfId="41" applyNumberFormat="1" applyFont="1" applyFill="1" applyBorder="1" applyAlignment="1" applyProtection="1">
      <alignment horizontal="center"/>
      <protection/>
    </xf>
    <xf numFmtId="38" fontId="158" fillId="46" borderId="60" xfId="41" applyNumberFormat="1" applyFont="1" applyFill="1" applyBorder="1" applyAlignment="1" applyProtection="1">
      <alignment horizontal="center"/>
      <protection/>
    </xf>
    <xf numFmtId="38" fontId="46" fillId="33" borderId="64" xfId="41" applyNumberFormat="1" applyFont="1" applyFill="1" applyBorder="1" applyAlignment="1" applyProtection="1">
      <alignment horizontal="center"/>
      <protection/>
    </xf>
    <xf numFmtId="38" fontId="46" fillId="33" borderId="47" xfId="41" applyNumberFormat="1" applyFont="1" applyFill="1" applyBorder="1" applyAlignment="1" applyProtection="1">
      <alignment horizontal="center"/>
      <protection/>
    </xf>
    <xf numFmtId="38" fontId="46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38" fontId="177" fillId="43" borderId="44" xfId="41" applyNumberFormat="1" applyFont="1" applyFill="1" applyBorder="1" applyAlignment="1" applyProtection="1">
      <alignment horizontal="center"/>
      <protection/>
    </xf>
    <xf numFmtId="38" fontId="177" fillId="43" borderId="45" xfId="41" applyNumberFormat="1" applyFont="1" applyFill="1" applyBorder="1" applyAlignment="1" applyProtection="1">
      <alignment horizontal="center"/>
      <protection/>
    </xf>
    <xf numFmtId="38" fontId="177" fillId="43" borderId="46" xfId="41" applyNumberFormat="1" applyFont="1" applyFill="1" applyBorder="1" applyAlignment="1" applyProtection="1">
      <alignment horizontal="center"/>
      <protection/>
    </xf>
    <xf numFmtId="178" fontId="195" fillId="45" borderId="30" xfId="33" applyNumberFormat="1" applyFont="1" applyFill="1" applyBorder="1" applyAlignment="1" applyProtection="1">
      <alignment horizontal="center" vertical="center"/>
      <protection locked="0"/>
    </xf>
    <xf numFmtId="178" fontId="195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199" fontId="196" fillId="26" borderId="0" xfId="0" applyNumberFormat="1" applyFont="1" applyFill="1" applyAlignment="1" applyProtection="1">
      <alignment horizontal="center"/>
      <protection/>
    </xf>
    <xf numFmtId="199" fontId="196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30" xfId="38" applyNumberFormat="1" applyFont="1" applyFill="1" applyBorder="1" applyAlignment="1" applyProtection="1" quotePrefix="1">
      <alignment horizontal="center" vertical="center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8" fontId="195" fillId="45" borderId="30" xfId="33" applyNumberFormat="1" applyFont="1" applyFill="1" applyBorder="1" applyAlignment="1" applyProtection="1">
      <alignment horizontal="center" vertical="center"/>
      <protection/>
    </xf>
    <xf numFmtId="178" fontId="195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7" fillId="33" borderId="28" xfId="40" applyFont="1" applyFill="1" applyBorder="1" applyAlignment="1" applyProtection="1">
      <alignment horizontal="center" vertical="center" wrapText="1"/>
      <protection/>
    </xf>
    <xf numFmtId="0" fontId="57" fillId="33" borderId="20" xfId="40" applyFont="1" applyFill="1" applyBorder="1" applyAlignment="1" applyProtection="1">
      <alignment horizontal="center" vertical="center" wrapText="1"/>
      <protection/>
    </xf>
    <xf numFmtId="0" fontId="57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197" fillId="36" borderId="30" xfId="71" applyFont="1" applyFill="1" applyBorder="1" applyAlignment="1" applyProtection="1">
      <alignment horizontal="center" vertical="center"/>
      <protection/>
    </xf>
    <xf numFmtId="0" fontId="197" fillId="36" borderId="45" xfId="71" applyFont="1" applyFill="1" applyBorder="1" applyAlignment="1" applyProtection="1">
      <alignment horizontal="center" vertical="center"/>
      <protection/>
    </xf>
    <xf numFmtId="0" fontId="197" fillId="36" borderId="31" xfId="71" applyFont="1" applyFill="1" applyBorder="1" applyAlignment="1" applyProtection="1">
      <alignment horizontal="center" vertical="center"/>
      <protection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94" fillId="33" borderId="0" xfId="36" applyNumberFormat="1" applyFont="1" applyFill="1" applyBorder="1" applyAlignment="1" applyProtection="1">
      <alignment horizontal="center"/>
      <protection/>
    </xf>
    <xf numFmtId="0" fontId="191" fillId="33" borderId="47" xfId="33" applyFont="1" applyFill="1" applyBorder="1" applyAlignment="1" applyProtection="1" quotePrefix="1">
      <alignment horizontal="center"/>
      <protection/>
    </xf>
    <xf numFmtId="177" fontId="4" fillId="26" borderId="30" xfId="36" applyNumberFormat="1" applyFont="1" applyFill="1" applyBorder="1" applyAlignment="1" applyProtection="1">
      <alignment horizontal="center"/>
      <protection/>
    </xf>
    <xf numFmtId="177" fontId="4" fillId="26" borderId="45" xfId="36" applyNumberFormat="1" applyFont="1" applyFill="1" applyBorder="1" applyAlignment="1" applyProtection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0" fontId="193" fillId="33" borderId="118" xfId="37" applyFont="1" applyFill="1" applyBorder="1" applyAlignment="1" applyProtection="1">
      <alignment horizontal="center"/>
      <protection/>
    </xf>
    <xf numFmtId="0" fontId="193" fillId="33" borderId="135" xfId="37" applyFont="1" applyFill="1" applyBorder="1" applyAlignment="1" applyProtection="1">
      <alignment horizontal="center"/>
      <protection/>
    </xf>
    <xf numFmtId="200" fontId="198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7">
        <f>+H7-1</f>
        <v>2020</v>
      </c>
      <c r="H42" s="667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49">
        <f>+H7</f>
        <v>2021</v>
      </c>
      <c r="J57" s="649"/>
      <c r="K57" s="616" t="s">
        <v>387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71">
        <f>+H7</f>
        <v>2021</v>
      </c>
      <c r="F59" s="671"/>
      <c r="G59" s="671"/>
      <c r="H59" s="671"/>
      <c r="I59" s="671"/>
      <c r="J59" s="671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72">
        <f>+H7</f>
        <v>2021</v>
      </c>
      <c r="F60" s="672"/>
      <c r="G60" s="672"/>
      <c r="H60" s="672"/>
      <c r="I60" s="672"/>
      <c r="J60" s="672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65">
        <f>+H7</f>
        <v>2021</v>
      </c>
      <c r="F61" s="665"/>
      <c r="G61" s="665"/>
      <c r="H61" s="665"/>
      <c r="I61" s="665"/>
      <c r="J61" s="665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50">
        <f>+H7</f>
        <v>2021</v>
      </c>
      <c r="J75" s="650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49">
        <f>+H7</f>
        <v>2021</v>
      </c>
      <c r="J82" s="649"/>
      <c r="K82" s="616" t="s">
        <v>404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48">
        <f>+H7</f>
        <v>2021</v>
      </c>
      <c r="F84" s="648"/>
      <c r="G84" s="648"/>
      <c r="H84" s="648"/>
      <c r="I84" s="648"/>
      <c r="J84" s="64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52">
        <f>+H7</f>
        <v>2021</v>
      </c>
      <c r="F85" s="652"/>
      <c r="G85" s="652"/>
      <c r="H85" s="652"/>
      <c r="I85" s="652"/>
      <c r="J85" s="652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53">
        <f>+H7</f>
        <v>2021</v>
      </c>
      <c r="F86" s="653"/>
      <c r="G86" s="653"/>
      <c r="H86" s="653"/>
      <c r="I86" s="653"/>
      <c r="J86" s="653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2">
        <f>+H7-1</f>
        <v>2020</v>
      </c>
      <c r="J98" s="662"/>
      <c r="K98" s="616" t="s">
        <v>387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50">
        <f>+H7</f>
        <v>2021</v>
      </c>
      <c r="J116" s="650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2">
        <f>+H7-1</f>
        <v>2020</v>
      </c>
      <c r="J123" s="662"/>
      <c r="K123" s="616" t="s">
        <v>404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49">
        <f>+H7</f>
        <v>2021</v>
      </c>
      <c r="I137" s="649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50">
        <f>+H7</f>
        <v>2021</v>
      </c>
      <c r="J138" s="650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330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331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330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25" sqref="A125:IV12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454</v>
      </c>
      <c r="C1" s="717"/>
      <c r="D1" s="717"/>
      <c r="E1" s="717"/>
      <c r="F1" s="718"/>
      <c r="G1" s="436" t="s">
        <v>244</v>
      </c>
      <c r="H1" s="429"/>
      <c r="I1" s="704">
        <v>776299</v>
      </c>
      <c r="J1" s="705"/>
      <c r="K1" s="430"/>
      <c r="L1" s="438" t="s">
        <v>245</v>
      </c>
      <c r="M1" s="434">
        <v>7311</v>
      </c>
      <c r="N1" s="430"/>
      <c r="O1" s="438" t="s">
        <v>239</v>
      </c>
      <c r="P1" s="455"/>
      <c r="Q1" s="431"/>
      <c r="R1" s="347" t="s">
        <v>276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455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/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ОБЩИНА  ИХТИМАН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351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1196726</v>
      </c>
      <c r="G15" s="232">
        <v>1191057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1196726</v>
      </c>
      <c r="P15" s="381">
        <f t="shared" si="0"/>
        <v>1191057</v>
      </c>
      <c r="Q15" s="31"/>
      <c r="R15" s="733" t="s">
        <v>149</v>
      </c>
      <c r="S15" s="734"/>
      <c r="T15" s="735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1906593</v>
      </c>
      <c r="G16" s="236">
        <v>1742388</v>
      </c>
      <c r="H16" s="15"/>
      <c r="I16" s="237"/>
      <c r="J16" s="236"/>
      <c r="K16" s="230"/>
      <c r="L16" s="237"/>
      <c r="M16" s="236"/>
      <c r="N16" s="230"/>
      <c r="O16" s="364">
        <f t="shared" si="0"/>
        <v>1906593</v>
      </c>
      <c r="P16" s="387">
        <f t="shared" si="0"/>
        <v>1742388</v>
      </c>
      <c r="Q16" s="31"/>
      <c r="R16" s="741" t="s">
        <v>283</v>
      </c>
      <c r="S16" s="742"/>
      <c r="T16" s="743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278</v>
      </c>
      <c r="S17" s="748"/>
      <c r="T17" s="74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62292</v>
      </c>
      <c r="G18" s="232">
        <v>88395</v>
      </c>
      <c r="H18" s="15"/>
      <c r="I18" s="233"/>
      <c r="J18" s="232"/>
      <c r="K18" s="230"/>
      <c r="L18" s="233"/>
      <c r="M18" s="232"/>
      <c r="N18" s="230"/>
      <c r="O18" s="368">
        <f t="shared" si="0"/>
        <v>62292</v>
      </c>
      <c r="P18" s="381">
        <f t="shared" si="0"/>
        <v>88395</v>
      </c>
      <c r="Q18" s="31"/>
      <c r="R18" s="733" t="s">
        <v>150</v>
      </c>
      <c r="S18" s="734"/>
      <c r="T18" s="735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748240</v>
      </c>
      <c r="G19" s="234">
        <v>1174519</v>
      </c>
      <c r="H19" s="15"/>
      <c r="I19" s="235"/>
      <c r="J19" s="234"/>
      <c r="K19" s="230"/>
      <c r="L19" s="235"/>
      <c r="M19" s="234"/>
      <c r="N19" s="230"/>
      <c r="O19" s="363">
        <f t="shared" si="0"/>
        <v>748240</v>
      </c>
      <c r="P19" s="415">
        <f t="shared" si="0"/>
        <v>1174519</v>
      </c>
      <c r="Q19" s="31"/>
      <c r="R19" s="744" t="s">
        <v>151</v>
      </c>
      <c r="S19" s="745"/>
      <c r="T19" s="746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120799</v>
      </c>
      <c r="G20" s="234">
        <v>340887</v>
      </c>
      <c r="H20" s="15"/>
      <c r="I20" s="235"/>
      <c r="J20" s="234"/>
      <c r="K20" s="230"/>
      <c r="L20" s="235"/>
      <c r="M20" s="234"/>
      <c r="N20" s="230"/>
      <c r="O20" s="363">
        <f t="shared" si="0"/>
        <v>120799</v>
      </c>
      <c r="P20" s="415">
        <f t="shared" si="0"/>
        <v>340887</v>
      </c>
      <c r="Q20" s="31"/>
      <c r="R20" s="744" t="s">
        <v>152</v>
      </c>
      <c r="S20" s="745"/>
      <c r="T20" s="746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124926</v>
      </c>
      <c r="G21" s="234">
        <v>122493</v>
      </c>
      <c r="H21" s="15"/>
      <c r="I21" s="235"/>
      <c r="J21" s="234"/>
      <c r="K21" s="230"/>
      <c r="L21" s="235"/>
      <c r="M21" s="234"/>
      <c r="N21" s="230"/>
      <c r="O21" s="363">
        <f t="shared" si="0"/>
        <v>124926</v>
      </c>
      <c r="P21" s="415">
        <f t="shared" si="0"/>
        <v>122493</v>
      </c>
      <c r="Q21" s="31"/>
      <c r="R21" s="744" t="s">
        <v>153</v>
      </c>
      <c r="S21" s="745"/>
      <c r="T21" s="746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>
        <v>45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45</v>
      </c>
      <c r="Q22" s="31"/>
      <c r="R22" s="744" t="s">
        <v>154</v>
      </c>
      <c r="S22" s="745"/>
      <c r="T22" s="746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1574</v>
      </c>
      <c r="G24" s="236">
        <v>54371</v>
      </c>
      <c r="H24" s="15"/>
      <c r="I24" s="237"/>
      <c r="J24" s="236"/>
      <c r="K24" s="230"/>
      <c r="L24" s="237"/>
      <c r="M24" s="236"/>
      <c r="N24" s="230"/>
      <c r="O24" s="364">
        <f t="shared" si="0"/>
        <v>1574</v>
      </c>
      <c r="P24" s="387">
        <f t="shared" si="0"/>
        <v>54371</v>
      </c>
      <c r="Q24" s="31"/>
      <c r="R24" s="750" t="s">
        <v>279</v>
      </c>
      <c r="S24" s="751"/>
      <c r="T24" s="752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4161150</v>
      </c>
      <c r="G25" s="238">
        <f>+ROUND(+SUM(G15,G16,G18,G19,G20,G21,G22,G23,G24),0)</f>
        <v>4714155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4161150</v>
      </c>
      <c r="P25" s="366">
        <f>+ROUND(+SUM(P15,P16,P18,P19,P20,P21,P22,P23,P24),0)</f>
        <v>4714155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263514</v>
      </c>
      <c r="G27" s="232">
        <v>196087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263514</v>
      </c>
      <c r="P27" s="381">
        <f t="shared" si="1"/>
        <v>196087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20870</v>
      </c>
      <c r="G28" s="234">
        <v>57023</v>
      </c>
      <c r="H28" s="15"/>
      <c r="I28" s="235"/>
      <c r="J28" s="234"/>
      <c r="K28" s="230"/>
      <c r="L28" s="235"/>
      <c r="M28" s="234"/>
      <c r="N28" s="230"/>
      <c r="O28" s="363">
        <f t="shared" si="1"/>
        <v>20870</v>
      </c>
      <c r="P28" s="415">
        <f t="shared" si="1"/>
        <v>57023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284384</v>
      </c>
      <c r="G30" s="238">
        <f>+ROUND(+SUM(G27:G29),0)</f>
        <v>253110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284384</v>
      </c>
      <c r="P30" s="366">
        <f>+ROUND(+SUM(P27:P29),0)</f>
        <v>253110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-250512</v>
      </c>
      <c r="G37" s="250">
        <v>-289572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-250512</v>
      </c>
      <c r="P37" s="366">
        <f t="shared" si="2"/>
        <v>-289572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-218368</v>
      </c>
      <c r="G38" s="252">
        <v>-248993</v>
      </c>
      <c r="H38" s="15"/>
      <c r="I38" s="253"/>
      <c r="J38" s="252"/>
      <c r="K38" s="230"/>
      <c r="L38" s="253"/>
      <c r="M38" s="252"/>
      <c r="N38" s="230"/>
      <c r="O38" s="378">
        <f t="shared" si="2"/>
        <v>-218368</v>
      </c>
      <c r="P38" s="416">
        <f t="shared" si="2"/>
        <v>-248993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-31958</v>
      </c>
      <c r="G39" s="254">
        <v>-40579</v>
      </c>
      <c r="H39" s="15"/>
      <c r="I39" s="255"/>
      <c r="J39" s="254"/>
      <c r="K39" s="230"/>
      <c r="L39" s="255"/>
      <c r="M39" s="254"/>
      <c r="N39" s="230"/>
      <c r="O39" s="379">
        <f t="shared" si="2"/>
        <v>-31958</v>
      </c>
      <c r="P39" s="417">
        <f t="shared" si="2"/>
        <v>-40579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1031</v>
      </c>
      <c r="G42" s="250">
        <v>3316</v>
      </c>
      <c r="H42" s="15"/>
      <c r="I42" s="251"/>
      <c r="J42" s="250"/>
      <c r="K42" s="230"/>
      <c r="L42" s="251"/>
      <c r="M42" s="250"/>
      <c r="N42" s="230"/>
      <c r="O42" s="365">
        <f>+ROUND(+F42+I42+L42,0)</f>
        <v>1031</v>
      </c>
      <c r="P42" s="366">
        <f>+ROUND(+G42+J42+M42,0)</f>
        <v>3316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13093</v>
      </c>
      <c r="G47" s="236">
        <v>27100</v>
      </c>
      <c r="H47" s="15"/>
      <c r="I47" s="237"/>
      <c r="J47" s="236"/>
      <c r="K47" s="230"/>
      <c r="L47" s="237"/>
      <c r="M47" s="236"/>
      <c r="N47" s="230"/>
      <c r="O47" s="364">
        <f t="shared" si="3"/>
        <v>13093</v>
      </c>
      <c r="P47" s="387">
        <f t="shared" si="3"/>
        <v>27100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13093</v>
      </c>
      <c r="G48" s="238">
        <f>+ROUND(+SUM(G44:G47),0)</f>
        <v>27100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13093</v>
      </c>
      <c r="P48" s="366">
        <f>+ROUND(+SUM(P44:P47),0)</f>
        <v>27100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4209146</v>
      </c>
      <c r="G50" s="260">
        <f>+ROUND(G25+G30+G37+G42+G48,0)</f>
        <v>4708109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4209146</v>
      </c>
      <c r="P50" s="383">
        <f>+ROUND(P25+P30+P37+P42+P48,0)</f>
        <v>4708109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3823979</v>
      </c>
      <c r="G53" s="262">
        <v>6680491</v>
      </c>
      <c r="H53" s="15"/>
      <c r="I53" s="263">
        <v>53177</v>
      </c>
      <c r="J53" s="262">
        <v>168254</v>
      </c>
      <c r="K53" s="230"/>
      <c r="L53" s="263"/>
      <c r="M53" s="262"/>
      <c r="N53" s="230"/>
      <c r="O53" s="369">
        <f aca="true" t="shared" si="4" ref="O53:P57">+ROUND(+F53+I53+L53,0)</f>
        <v>3877156</v>
      </c>
      <c r="P53" s="362">
        <f t="shared" si="4"/>
        <v>6848745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22090</v>
      </c>
      <c r="G54" s="236">
        <v>26649</v>
      </c>
      <c r="H54" s="15"/>
      <c r="I54" s="237"/>
      <c r="J54" s="236"/>
      <c r="K54" s="230"/>
      <c r="L54" s="237"/>
      <c r="M54" s="236"/>
      <c r="N54" s="230"/>
      <c r="O54" s="364">
        <f t="shared" si="4"/>
        <v>22090</v>
      </c>
      <c r="P54" s="387">
        <f t="shared" si="4"/>
        <v>26649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2680</v>
      </c>
      <c r="G55" s="236">
        <v>7150</v>
      </c>
      <c r="H55" s="15"/>
      <c r="I55" s="237"/>
      <c r="J55" s="236"/>
      <c r="K55" s="230"/>
      <c r="L55" s="237"/>
      <c r="M55" s="236"/>
      <c r="N55" s="230"/>
      <c r="O55" s="364">
        <f t="shared" si="4"/>
        <v>2680</v>
      </c>
      <c r="P55" s="387">
        <f t="shared" si="4"/>
        <v>7150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7367096</v>
      </c>
      <c r="G56" s="236">
        <v>8496844</v>
      </c>
      <c r="H56" s="15"/>
      <c r="I56" s="237">
        <v>204252</v>
      </c>
      <c r="J56" s="236">
        <v>282767</v>
      </c>
      <c r="K56" s="230"/>
      <c r="L56" s="237"/>
      <c r="M56" s="236"/>
      <c r="N56" s="230"/>
      <c r="O56" s="364">
        <f t="shared" si="4"/>
        <v>7571348</v>
      </c>
      <c r="P56" s="387">
        <f t="shared" si="4"/>
        <v>8779611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1510966</v>
      </c>
      <c r="G57" s="236">
        <v>1728551</v>
      </c>
      <c r="H57" s="15"/>
      <c r="I57" s="237">
        <v>39852</v>
      </c>
      <c r="J57" s="236">
        <v>54044</v>
      </c>
      <c r="K57" s="230"/>
      <c r="L57" s="237"/>
      <c r="M57" s="236"/>
      <c r="N57" s="230"/>
      <c r="O57" s="364">
        <f t="shared" si="4"/>
        <v>1550818</v>
      </c>
      <c r="P57" s="387">
        <f t="shared" si="4"/>
        <v>1782595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12726811</v>
      </c>
      <c r="G58" s="264">
        <f>+ROUND(+SUM(G53:G57),0)</f>
        <v>16939685</v>
      </c>
      <c r="H58" s="15"/>
      <c r="I58" s="265">
        <f>+ROUND(+SUM(I53:I57),0)</f>
        <v>297281</v>
      </c>
      <c r="J58" s="264">
        <f>+ROUND(+SUM(J53:J57),0)</f>
        <v>505065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13024092</v>
      </c>
      <c r="P58" s="385">
        <f>+ROUND(+SUM(P53:P57),0)</f>
        <v>17444750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2697131</v>
      </c>
      <c r="G61" s="236">
        <v>4371601</v>
      </c>
      <c r="H61" s="15"/>
      <c r="I61" s="237">
        <v>1813047</v>
      </c>
      <c r="J61" s="236">
        <v>4187256</v>
      </c>
      <c r="K61" s="230"/>
      <c r="L61" s="237"/>
      <c r="M61" s="236"/>
      <c r="N61" s="230"/>
      <c r="O61" s="364">
        <f t="shared" si="5"/>
        <v>4510178</v>
      </c>
      <c r="P61" s="387">
        <f t="shared" si="5"/>
        <v>8558857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68934</v>
      </c>
      <c r="G62" s="236">
        <v>124044</v>
      </c>
      <c r="H62" s="15"/>
      <c r="I62" s="237"/>
      <c r="J62" s="236"/>
      <c r="K62" s="230"/>
      <c r="L62" s="237"/>
      <c r="M62" s="236"/>
      <c r="N62" s="230"/>
      <c r="O62" s="364">
        <f t="shared" si="5"/>
        <v>68934</v>
      </c>
      <c r="P62" s="387">
        <f t="shared" si="5"/>
        <v>124044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2766065</v>
      </c>
      <c r="G65" s="264">
        <f>+ROUND(+SUM(G60:G63),0)</f>
        <v>4495645</v>
      </c>
      <c r="H65" s="15"/>
      <c r="I65" s="265">
        <f>+ROUND(+SUM(I60:I63),0)</f>
        <v>1813047</v>
      </c>
      <c r="J65" s="264">
        <f>+ROUND(+SUM(J60:J63),0)</f>
        <v>4187256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4579112</v>
      </c>
      <c r="P65" s="385">
        <f>+ROUND(+SUM(P60:P63),0)</f>
        <v>8682901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120553</v>
      </c>
      <c r="G71" s="262">
        <v>199075</v>
      </c>
      <c r="H71" s="15"/>
      <c r="I71" s="263">
        <v>7409</v>
      </c>
      <c r="J71" s="262">
        <v>5666</v>
      </c>
      <c r="K71" s="230"/>
      <c r="L71" s="263"/>
      <c r="M71" s="262"/>
      <c r="N71" s="230"/>
      <c r="O71" s="369">
        <f>+ROUND(+F71+I71+L71,0)</f>
        <v>127962</v>
      </c>
      <c r="P71" s="362">
        <f>+ROUND(+G71+J71+M71,0)</f>
        <v>204741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120553</v>
      </c>
      <c r="G73" s="264">
        <f>+ROUND(+SUM(G71:G72),0)</f>
        <v>199075</v>
      </c>
      <c r="H73" s="15"/>
      <c r="I73" s="265">
        <f>+ROUND(+SUM(I71:I72),0)</f>
        <v>7409</v>
      </c>
      <c r="J73" s="264">
        <f>+ROUND(+SUM(J71:J72),0)</f>
        <v>5666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127962</v>
      </c>
      <c r="P73" s="385">
        <f>+ROUND(+SUM(P71:P72),0)</f>
        <v>204741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405738</v>
      </c>
      <c r="G75" s="262">
        <v>541534</v>
      </c>
      <c r="H75" s="15"/>
      <c r="I75" s="263">
        <v>45719</v>
      </c>
      <c r="J75" s="262">
        <v>90728</v>
      </c>
      <c r="K75" s="230"/>
      <c r="L75" s="263"/>
      <c r="M75" s="262"/>
      <c r="N75" s="230"/>
      <c r="O75" s="369">
        <f>+ROUND(+F75+I75+L75,0)</f>
        <v>451457</v>
      </c>
      <c r="P75" s="362">
        <f>+ROUND(+G75+J75+M75,0)</f>
        <v>632262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32168</v>
      </c>
      <c r="G76" s="236">
        <v>106475</v>
      </c>
      <c r="H76" s="15"/>
      <c r="I76" s="237"/>
      <c r="J76" s="236"/>
      <c r="K76" s="230"/>
      <c r="L76" s="237"/>
      <c r="M76" s="236"/>
      <c r="N76" s="230"/>
      <c r="O76" s="364">
        <f>+ROUND(+F76+I76+L76,0)</f>
        <v>32168</v>
      </c>
      <c r="P76" s="387">
        <f>+ROUND(+G76+J76+M76,0)</f>
        <v>106475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437906</v>
      </c>
      <c r="G77" s="264">
        <f>+ROUND(+SUM(G75:G76),0)</f>
        <v>648009</v>
      </c>
      <c r="H77" s="15"/>
      <c r="I77" s="265">
        <f>+ROUND(+SUM(I75:I76),0)</f>
        <v>45719</v>
      </c>
      <c r="J77" s="264">
        <f>+ROUND(+SUM(J75:J76),0)</f>
        <v>90728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483625</v>
      </c>
      <c r="P77" s="385">
        <f>+ROUND(+SUM(P75:P76),0)</f>
        <v>738737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16051335</v>
      </c>
      <c r="G79" s="275">
        <f>+ROUND(G58+G65+G69+G73+G77,0)</f>
        <v>22282414</v>
      </c>
      <c r="H79" s="15"/>
      <c r="I79" s="272">
        <f>+ROUND(I58+I65+I69+I73+I77,0)</f>
        <v>2163456</v>
      </c>
      <c r="J79" s="275">
        <f>+ROUND(J58+J65+J69+J73+J77,0)</f>
        <v>4788715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18214791</v>
      </c>
      <c r="P79" s="395">
        <f>+ROUND(P58+P65+P69+P73+P77,0)</f>
        <v>27071129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11150345</v>
      </c>
      <c r="G81" s="232">
        <v>17010325</v>
      </c>
      <c r="H81" s="15"/>
      <c r="I81" s="233">
        <v>2121777</v>
      </c>
      <c r="J81" s="232">
        <v>4907052</v>
      </c>
      <c r="K81" s="230"/>
      <c r="L81" s="233"/>
      <c r="M81" s="232"/>
      <c r="N81" s="230"/>
      <c r="O81" s="368">
        <f>+ROUND(+F81+I81+L81,0)</f>
        <v>13272122</v>
      </c>
      <c r="P81" s="381">
        <f>+ROUND(+G81+J81+M81,0)</f>
        <v>21917377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>
        <v>-33213</v>
      </c>
      <c r="G82" s="236">
        <v>10067</v>
      </c>
      <c r="H82" s="15"/>
      <c r="I82" s="237">
        <v>33213</v>
      </c>
      <c r="J82" s="236">
        <v>-10067</v>
      </c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11117132</v>
      </c>
      <c r="G83" s="273">
        <f>+ROUND(G81+G82,0)</f>
        <v>17020392</v>
      </c>
      <c r="H83" s="15"/>
      <c r="I83" s="274">
        <f>+ROUND(I81+I82,0)</f>
        <v>2154990</v>
      </c>
      <c r="J83" s="273">
        <f>+ROUND(J81+J82,0)</f>
        <v>4896985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13272122</v>
      </c>
      <c r="P83" s="390">
        <f>+ROUND(P81+P82,0)</f>
        <v>21917377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-725057</v>
      </c>
      <c r="G85" s="294">
        <f>+ROUND(G50,0)-ROUND(G79,0)+ROUND(G83,0)</f>
        <v>-553913</v>
      </c>
      <c r="H85" s="15"/>
      <c r="I85" s="295">
        <f>+ROUND(I50,0)-ROUND(I79,0)+ROUND(I83,0)</f>
        <v>-8466</v>
      </c>
      <c r="J85" s="294">
        <f>+ROUND(J50,0)-ROUND(J79,0)+ROUND(J83,0)</f>
        <v>108270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-733523</v>
      </c>
      <c r="P85" s="392">
        <f>+ROUND(P50,0)-ROUND(P79,0)+ROUND(P83,0)</f>
        <v>-445643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725057</v>
      </c>
      <c r="G86" s="296">
        <f>+ROUND(G103,0)+ROUND(G122,0)+ROUND(G129,0)-ROUND(G134,0)</f>
        <v>553913</v>
      </c>
      <c r="H86" s="15"/>
      <c r="I86" s="297">
        <f>+ROUND(I103,0)+ROUND(I122,0)+ROUND(I129,0)-ROUND(I134,0)</f>
        <v>8466</v>
      </c>
      <c r="J86" s="296">
        <f>+ROUND(J103,0)+ROUND(J122,0)+ROUND(J129,0)-ROUND(J134,0)</f>
        <v>-108270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733523</v>
      </c>
      <c r="P86" s="394">
        <f>+ROUND(P103,0)+ROUND(P122,0)+ROUND(P129,0)-ROUND(P134,0)</f>
        <v>445643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>
        <v>-4</v>
      </c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-4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-4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-4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48998</v>
      </c>
      <c r="G100" s="236">
        <v>439809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48998</v>
      </c>
      <c r="P100" s="387">
        <f>+ROUND(+G100+J100+M100,0)</f>
        <v>439809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48998</v>
      </c>
      <c r="G101" s="238">
        <f>+ROUND(+SUM(G99:G100),0)</f>
        <v>439809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48998</v>
      </c>
      <c r="P101" s="366">
        <f>+ROUND(+SUM(P99:P100),0)</f>
        <v>439809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48994</v>
      </c>
      <c r="G103" s="260">
        <f>+ROUND(G91+G97+G101,0)</f>
        <v>439809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48994</v>
      </c>
      <c r="P103" s="383">
        <f>+ROUND(P91+P97+P101,0)</f>
        <v>439809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>
        <v>-135000</v>
      </c>
      <c r="G115" s="236">
        <v>-180000</v>
      </c>
      <c r="H115" s="15"/>
      <c r="I115" s="237"/>
      <c r="J115" s="236"/>
      <c r="K115" s="230"/>
      <c r="L115" s="237"/>
      <c r="M115" s="236"/>
      <c r="N115" s="230"/>
      <c r="O115" s="364">
        <f>+ROUND(+F115+I115+L115,0)</f>
        <v>-135000</v>
      </c>
      <c r="P115" s="387">
        <f>+ROUND(+G115+J115+M115,0)</f>
        <v>-180000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-135000</v>
      </c>
      <c r="G116" s="264">
        <f>+ROUND(+SUM(G114:G115),0)</f>
        <v>-180000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-135000</v>
      </c>
      <c r="P116" s="385">
        <f>+ROUND(+SUM(P114:P115),0)</f>
        <v>-180000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>
        <v>28369</v>
      </c>
      <c r="M118" s="262">
        <v>51605</v>
      </c>
      <c r="N118" s="230"/>
      <c r="O118" s="369">
        <f>+ROUND(+F118+I118+L118,0)</f>
        <v>28369</v>
      </c>
      <c r="P118" s="362">
        <f>+ROUND(+G118+J118+M118,0)</f>
        <v>51605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28369</v>
      </c>
      <c r="M120" s="264">
        <f>+ROUND(+SUM(M118:M119),0)</f>
        <v>51605</v>
      </c>
      <c r="N120" s="230"/>
      <c r="O120" s="384">
        <f>+ROUND(+SUM(O118:O119),0)</f>
        <v>28369</v>
      </c>
      <c r="P120" s="385">
        <f>+ROUND(+SUM(P118:P119),0)</f>
        <v>51605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-135000</v>
      </c>
      <c r="G122" s="275">
        <f>+ROUND(G108+G112+G116+G120,0)</f>
        <v>-180000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28369</v>
      </c>
      <c r="M122" s="275">
        <f>+ROUND(M108+M112+M116+M120,0)</f>
        <v>51605</v>
      </c>
      <c r="N122" s="230"/>
      <c r="O122" s="388">
        <f>+ROUND(O108+O112+O116+O120,0)</f>
        <v>-106631</v>
      </c>
      <c r="P122" s="395">
        <f>+ROUND(P108+P112+P116+P120,0)</f>
        <v>-128395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-43293</v>
      </c>
      <c r="G125" s="236">
        <v>44977</v>
      </c>
      <c r="H125" s="15"/>
      <c r="I125" s="237">
        <v>43292</v>
      </c>
      <c r="J125" s="236">
        <v>-44977</v>
      </c>
      <c r="K125" s="230"/>
      <c r="L125" s="237"/>
      <c r="M125" s="236"/>
      <c r="N125" s="230"/>
      <c r="O125" s="364">
        <f t="shared" si="7"/>
        <v>-1</v>
      </c>
      <c r="P125" s="387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74" t="s">
        <v>285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281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-43293</v>
      </c>
      <c r="G129" s="273">
        <f>+ROUND(+SUM(G124,G125,G126,G128),0)</f>
        <v>44977</v>
      </c>
      <c r="H129" s="15"/>
      <c r="I129" s="274">
        <f>+ROUND(+SUM(I124,I125,I126,I128),0)</f>
        <v>43292</v>
      </c>
      <c r="J129" s="273">
        <f>+ROUND(+SUM(J124,J125,J126,J128),0)</f>
        <v>-44977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-1</v>
      </c>
      <c r="P129" s="390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3208110</v>
      </c>
      <c r="G131" s="232">
        <v>3457237</v>
      </c>
      <c r="H131" s="15"/>
      <c r="I131" s="233">
        <v>73107</v>
      </c>
      <c r="J131" s="232">
        <v>9814</v>
      </c>
      <c r="K131" s="230"/>
      <c r="L131" s="233">
        <v>750204</v>
      </c>
      <c r="M131" s="232">
        <v>698599</v>
      </c>
      <c r="N131" s="230"/>
      <c r="O131" s="368">
        <f aca="true" t="shared" si="8" ref="O131:P133">+ROUND(+F131+I131+L131,0)</f>
        <v>4031421</v>
      </c>
      <c r="P131" s="381">
        <f t="shared" si="8"/>
        <v>4165650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2353754</v>
      </c>
      <c r="G133" s="236">
        <v>3208110</v>
      </c>
      <c r="H133" s="15"/>
      <c r="I133" s="237">
        <v>107933</v>
      </c>
      <c r="J133" s="236">
        <v>73107</v>
      </c>
      <c r="K133" s="230"/>
      <c r="L133" s="237">
        <v>778573</v>
      </c>
      <c r="M133" s="236">
        <v>750204</v>
      </c>
      <c r="N133" s="230"/>
      <c r="O133" s="364">
        <f t="shared" si="8"/>
        <v>3240260</v>
      </c>
      <c r="P133" s="387">
        <f t="shared" si="8"/>
        <v>4031421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-854356</v>
      </c>
      <c r="G134" s="278">
        <f>+ROUND(+G133-G131-G132,0)</f>
        <v>-249127</v>
      </c>
      <c r="H134" s="15"/>
      <c r="I134" s="279">
        <f>+ROUND(+I133-I131-I132,0)</f>
        <v>34826</v>
      </c>
      <c r="J134" s="278">
        <f>+ROUND(+J133-J131-J132,0)</f>
        <v>63293</v>
      </c>
      <c r="K134" s="230"/>
      <c r="L134" s="279">
        <f>+ROUND(+L133-L131-L132,0)</f>
        <v>28369</v>
      </c>
      <c r="M134" s="278">
        <f>+ROUND(+M133-M131-M132,0)</f>
        <v>51605</v>
      </c>
      <c r="N134" s="230"/>
      <c r="O134" s="397">
        <f>+ROUND(+O133-O131-O132,0)</f>
        <v>-791161</v>
      </c>
      <c r="P134" s="398">
        <f>+ROUND(+P133-P131-P132,0)</f>
        <v>-134229</v>
      </c>
      <c r="Q134" s="31"/>
      <c r="R134" s="791" t="s">
        <v>294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308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305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304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295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-854356</v>
      </c>
      <c r="G142" s="540">
        <f>+G134+G140</f>
        <v>-249127</v>
      </c>
      <c r="H142" s="15"/>
      <c r="I142" s="539">
        <f>+I134+I140</f>
        <v>34826</v>
      </c>
      <c r="J142" s="540">
        <f>+J134+J140</f>
        <v>63293</v>
      </c>
      <c r="K142" s="230"/>
      <c r="L142" s="539">
        <f>+L134+L140</f>
        <v>28369</v>
      </c>
      <c r="M142" s="540">
        <f>+M134+M140</f>
        <v>51605</v>
      </c>
      <c r="N142" s="230"/>
      <c r="O142" s="397">
        <f>+O134+O140</f>
        <v>-791161</v>
      </c>
      <c r="P142" s="398">
        <f>+P134+P140</f>
        <v>-134229</v>
      </c>
      <c r="Q142" s="31"/>
      <c r="R142" s="698" t="s">
        <v>297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13102021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456</v>
      </c>
      <c r="G148" s="702"/>
      <c r="H148" s="702"/>
      <c r="I148" s="703"/>
      <c r="J148" s="349"/>
      <c r="K148" s="16"/>
      <c r="L148" s="349" t="s">
        <v>234</v>
      </c>
      <c r="M148" s="701" t="s">
        <v>457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2353754</v>
      </c>
      <c r="G160" s="569">
        <f>+G133+G139</f>
        <v>3208110</v>
      </c>
      <c r="I160" s="568">
        <f>+I133+I139</f>
        <v>107933</v>
      </c>
      <c r="J160" s="569">
        <f>+J133+J139</f>
        <v>73107</v>
      </c>
      <c r="K160" s="230"/>
      <c r="L160" s="568">
        <f>+L133+L139</f>
        <v>778573</v>
      </c>
      <c r="M160" s="569">
        <f>+M133+M139</f>
        <v>750204</v>
      </c>
      <c r="N160" s="230"/>
      <c r="O160" s="572">
        <f>+ROUND(+F160+I160+L160,0)</f>
        <v>3240260</v>
      </c>
      <c r="P160" s="573">
        <f>+ROUND(+G160+J160+M160,0)</f>
        <v>4031421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682">
        <f>+'Cash-Flow-2021-Leva'!P5</f>
        <v>2021</v>
      </c>
      <c r="D161" s="683"/>
      <c r="F161" s="565">
        <v>2353754</v>
      </c>
      <c r="G161" s="566">
        <v>3208110</v>
      </c>
      <c r="I161" s="565">
        <v>107933</v>
      </c>
      <c r="J161" s="566">
        <v>73107</v>
      </c>
      <c r="K161" s="230"/>
      <c r="L161" s="565">
        <v>778573</v>
      </c>
      <c r="M161" s="566">
        <v>750204</v>
      </c>
      <c r="N161" s="230"/>
      <c r="O161" s="574">
        <f>+ROUND(+F161+I161+L161,0)</f>
        <v>3240260</v>
      </c>
      <c r="P161" s="575">
        <f>+ROUND(+G161+J161+M161,0)</f>
        <v>4031421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7" sqref="F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ОБЩИНА  ИХТИМАН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776299</v>
      </c>
      <c r="J1" s="803"/>
      <c r="K1" s="442"/>
      <c r="L1" s="443" t="s">
        <v>245</v>
      </c>
      <c r="M1" s="444">
        <f>+'Cash-Flow-2021-Leva'!M1</f>
        <v>7311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ГР. ИХТИМАН, УЛ. ЦАР ОСВОБОДИТЕЛ №123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>
        <f>+'Cash-Flow-2021-Leva'!M3:P3</f>
        <v>0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ОБЩИНА  ИХТИМАН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1196.726</v>
      </c>
      <c r="G15" s="258">
        <f>+'Cash-Flow-2021-Leva'!G15/1000</f>
        <v>1191.057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1196.726</v>
      </c>
      <c r="P15" s="381">
        <f aca="true" t="shared" si="1" ref="P15:P24">+G15+J15+M15</f>
        <v>1191.057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1906.593</v>
      </c>
      <c r="G16" s="270">
        <f>+'Cash-Flow-2021-Leva'!G16/1000</f>
        <v>1742.388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1906.593</v>
      </c>
      <c r="P16" s="387">
        <f t="shared" si="1"/>
        <v>1742.388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62.292</v>
      </c>
      <c r="G18" s="258">
        <f>+'Cash-Flow-2021-Leva'!G18/1000</f>
        <v>88.395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62.292</v>
      </c>
      <c r="P18" s="381">
        <f t="shared" si="1"/>
        <v>88.395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748.24</v>
      </c>
      <c r="G19" s="281">
        <f>+'Cash-Flow-2021-Leva'!G19/1000</f>
        <v>1174.519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748.24</v>
      </c>
      <c r="P19" s="415">
        <f t="shared" si="1"/>
        <v>1174.519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120.799</v>
      </c>
      <c r="G20" s="281">
        <f>+'Cash-Flow-2021-Leva'!G20/1000</f>
        <v>340.887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120.799</v>
      </c>
      <c r="P20" s="415">
        <f t="shared" si="1"/>
        <v>340.887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124.926</v>
      </c>
      <c r="G21" s="281">
        <f>+'Cash-Flow-2021-Leva'!G21/1000</f>
        <v>122.493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124.926</v>
      </c>
      <c r="P21" s="415">
        <f t="shared" si="1"/>
        <v>122.493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0.045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0.045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1.574</v>
      </c>
      <c r="G24" s="270">
        <f>+'Cash-Flow-2021-Leva'!G24/1000</f>
        <v>54.371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1.574</v>
      </c>
      <c r="P24" s="387">
        <f t="shared" si="1"/>
        <v>54.371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4161.150000000001</v>
      </c>
      <c r="G25" s="238">
        <f>+SUM(G15,G16,G18,G19,G20,G21,G22,G23,G24)</f>
        <v>4714.155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4161.150000000001</v>
      </c>
      <c r="P25" s="366">
        <f>+SUM(P15,P16,P18,P19,P20,P21,P22,P23,P24)</f>
        <v>4714.155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263.514</v>
      </c>
      <c r="G27" s="258">
        <f>+'Cash-Flow-2021-Leva'!G27/1000</f>
        <v>196.087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263.514</v>
      </c>
      <c r="P27" s="381">
        <f t="shared" si="2"/>
        <v>196.087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20.87</v>
      </c>
      <c r="G28" s="281">
        <f>+'Cash-Flow-2021-Leva'!G28/1000</f>
        <v>57.023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20.87</v>
      </c>
      <c r="P28" s="415">
        <f t="shared" si="2"/>
        <v>57.023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284.384</v>
      </c>
      <c r="G30" s="238">
        <f>+SUM(G27:G29)</f>
        <v>253.10999999999999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284.384</v>
      </c>
      <c r="P30" s="366">
        <f>+SUM(P27:P29)</f>
        <v>253.10999999999999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-250.512</v>
      </c>
      <c r="G37" s="238">
        <f>+'Cash-Flow-2021-Leva'!G37/1000</f>
        <v>-289.572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-250.512</v>
      </c>
      <c r="P37" s="366">
        <f t="shared" si="3"/>
        <v>-289.572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-218.368</v>
      </c>
      <c r="G38" s="283">
        <f>+'Cash-Flow-2021-Leva'!G38/1000</f>
        <v>-248.993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-218.368</v>
      </c>
      <c r="P38" s="416">
        <f t="shared" si="3"/>
        <v>-248.993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-31.958</v>
      </c>
      <c r="G39" s="285">
        <f>+'Cash-Flow-2021-Leva'!G39/1000</f>
        <v>-40.579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-31.958</v>
      </c>
      <c r="P39" s="417">
        <f t="shared" si="3"/>
        <v>-40.579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1.031</v>
      </c>
      <c r="G42" s="238">
        <f>+'Cash-Flow-2021-Leva'!G42/1000</f>
        <v>3.316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1.031</v>
      </c>
      <c r="P42" s="366">
        <f>+G42+J42+M42</f>
        <v>3.316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13.093</v>
      </c>
      <c r="G47" s="270">
        <f>+'Cash-Flow-2021-Leva'!G47/1000</f>
        <v>27.1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13.093</v>
      </c>
      <c r="P47" s="387">
        <f t="shared" si="4"/>
        <v>27.1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13.093</v>
      </c>
      <c r="G48" s="238">
        <f>+SUM(G44:G47)</f>
        <v>27.1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13.093</v>
      </c>
      <c r="P48" s="366">
        <f>+SUM(P44:P47)</f>
        <v>27.1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4209.146000000001</v>
      </c>
      <c r="G50" s="260">
        <f>+G25+G30+G37+G42+G48</f>
        <v>4708.1089999999995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4209.146000000001</v>
      </c>
      <c r="P50" s="383">
        <f>+P25+P30+P37+P42+P48</f>
        <v>4708.1089999999995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3823.979</v>
      </c>
      <c r="G53" s="231">
        <f>+'Cash-Flow-2021-Leva'!G53/1000</f>
        <v>6680.491</v>
      </c>
      <c r="H53" s="280"/>
      <c r="I53" s="241">
        <f>+'Cash-Flow-2021-Leva'!I53/1000</f>
        <v>53.177</v>
      </c>
      <c r="J53" s="231">
        <f>+'Cash-Flow-2021-Leva'!J53/1000</f>
        <v>168.254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3877.156</v>
      </c>
      <c r="P53" s="362">
        <f t="shared" si="5"/>
        <v>6848.745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22.09</v>
      </c>
      <c r="G54" s="270">
        <f>+'Cash-Flow-2021-Leva'!G54/1000</f>
        <v>26.649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22.09</v>
      </c>
      <c r="P54" s="387">
        <f t="shared" si="5"/>
        <v>26.649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2.68</v>
      </c>
      <c r="G55" s="270">
        <f>+'Cash-Flow-2021-Leva'!G55/1000</f>
        <v>7.15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2.68</v>
      </c>
      <c r="P55" s="387">
        <f t="shared" si="5"/>
        <v>7.15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7367.096</v>
      </c>
      <c r="G56" s="270">
        <f>+'Cash-Flow-2021-Leva'!G56/1000</f>
        <v>8496.844</v>
      </c>
      <c r="H56" s="280"/>
      <c r="I56" s="271">
        <f>+'Cash-Flow-2021-Leva'!I56/1000</f>
        <v>204.252</v>
      </c>
      <c r="J56" s="270">
        <f>+'Cash-Flow-2021-Leva'!J56/1000</f>
        <v>282.767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7571.348</v>
      </c>
      <c r="P56" s="387">
        <f t="shared" si="5"/>
        <v>8779.610999999999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1510.966</v>
      </c>
      <c r="G57" s="270">
        <f>+'Cash-Flow-2021-Leva'!G57/1000</f>
        <v>1728.551</v>
      </c>
      <c r="H57" s="280"/>
      <c r="I57" s="271">
        <f>+'Cash-Flow-2021-Leva'!I57/1000</f>
        <v>39.852</v>
      </c>
      <c r="J57" s="270">
        <f>+'Cash-Flow-2021-Leva'!J57/1000</f>
        <v>54.044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1550.818</v>
      </c>
      <c r="P57" s="387">
        <f t="shared" si="5"/>
        <v>1782.595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12726.811</v>
      </c>
      <c r="G58" s="264">
        <f>+SUM(G53:G57)</f>
        <v>16939.684999999998</v>
      </c>
      <c r="H58" s="280"/>
      <c r="I58" s="265">
        <f>+SUM(I53:I57)</f>
        <v>297.281</v>
      </c>
      <c r="J58" s="264">
        <f>+SUM(J53:J57)</f>
        <v>505.06499999999994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13024.091999999999</v>
      </c>
      <c r="P58" s="385">
        <f>+SUM(P53:P57)</f>
        <v>17444.75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2697.131</v>
      </c>
      <c r="G61" s="270">
        <f>+'Cash-Flow-2021-Leva'!G61/1000</f>
        <v>4371.601</v>
      </c>
      <c r="H61" s="280"/>
      <c r="I61" s="271">
        <f>+'Cash-Flow-2021-Leva'!I61/1000</f>
        <v>1813.047</v>
      </c>
      <c r="J61" s="270">
        <f>+'Cash-Flow-2021-Leva'!J61/1000</f>
        <v>4187.256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4510.178</v>
      </c>
      <c r="P61" s="387">
        <f t="shared" si="6"/>
        <v>8558.857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68.934</v>
      </c>
      <c r="G62" s="270">
        <f>+'Cash-Flow-2021-Leva'!G62/1000</f>
        <v>124.044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68.934</v>
      </c>
      <c r="P62" s="387">
        <f t="shared" si="6"/>
        <v>124.044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2766.065</v>
      </c>
      <c r="G65" s="264">
        <f>+SUM(G60:G63)</f>
        <v>4495.6449999999995</v>
      </c>
      <c r="H65" s="280"/>
      <c r="I65" s="265">
        <f>+SUM(I60:I63)</f>
        <v>1813.047</v>
      </c>
      <c r="J65" s="264">
        <f>+SUM(J60:J63)</f>
        <v>4187.256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4579.112</v>
      </c>
      <c r="P65" s="385">
        <f>+SUM(P60:P63)</f>
        <v>8682.901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120.553</v>
      </c>
      <c r="G71" s="231">
        <f>+'Cash-Flow-2021-Leva'!G71/1000</f>
        <v>199.075</v>
      </c>
      <c r="H71" s="280"/>
      <c r="I71" s="241">
        <f>+'Cash-Flow-2021-Leva'!I71/1000</f>
        <v>7.409</v>
      </c>
      <c r="J71" s="231">
        <f>+'Cash-Flow-2021-Leva'!J71/1000</f>
        <v>5.666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127.962</v>
      </c>
      <c r="P71" s="362">
        <f>+G71+J71+M71</f>
        <v>204.74099999999999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120.553</v>
      </c>
      <c r="G73" s="264">
        <f>+SUM(G71:G72)</f>
        <v>199.075</v>
      </c>
      <c r="H73" s="280"/>
      <c r="I73" s="265">
        <f>+SUM(I71:I72)</f>
        <v>7.409</v>
      </c>
      <c r="J73" s="264">
        <f>+SUM(J71:J72)</f>
        <v>5.666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127.962</v>
      </c>
      <c r="P73" s="385">
        <f>+SUM(P71:P72)</f>
        <v>204.74099999999999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405.738</v>
      </c>
      <c r="G75" s="231">
        <f>+'Cash-Flow-2021-Leva'!G75/1000</f>
        <v>541.534</v>
      </c>
      <c r="H75" s="280"/>
      <c r="I75" s="241">
        <f>+'Cash-Flow-2021-Leva'!I75/1000</f>
        <v>45.719</v>
      </c>
      <c r="J75" s="231">
        <f>+'Cash-Flow-2021-Leva'!J75/1000</f>
        <v>90.728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451.457</v>
      </c>
      <c r="P75" s="362">
        <f>+G75+J75+M75</f>
        <v>632.262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32.168</v>
      </c>
      <c r="G76" s="270">
        <f>+'Cash-Flow-2021-Leva'!G76/1000</f>
        <v>106.475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32.168</v>
      </c>
      <c r="P76" s="387">
        <f>+G76+J76+M76</f>
        <v>106.475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437.906</v>
      </c>
      <c r="G77" s="264">
        <f>+SUM(G75:G76)</f>
        <v>648.009</v>
      </c>
      <c r="H77" s="280"/>
      <c r="I77" s="265">
        <f>+SUM(I75:I76)</f>
        <v>45.719</v>
      </c>
      <c r="J77" s="264">
        <f>+SUM(J75:J76)</f>
        <v>90.728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483.625</v>
      </c>
      <c r="P77" s="385">
        <f>+SUM(P75:P76)</f>
        <v>738.737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16051.335000000001</v>
      </c>
      <c r="G79" s="275">
        <f>+G58+G65+G69+G73+G77</f>
        <v>22282.413999999997</v>
      </c>
      <c r="H79" s="280"/>
      <c r="I79" s="272">
        <f>+I58+I65+I69+I73+I77</f>
        <v>2163.456</v>
      </c>
      <c r="J79" s="275">
        <f>+J58+J65+J69+J73+J77</f>
        <v>4788.715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18214.790999999997</v>
      </c>
      <c r="P79" s="395">
        <f>+P58+P65+P69+P73+P77</f>
        <v>27071.129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11150.345</v>
      </c>
      <c r="G81" s="258">
        <f>+'Cash-Flow-2021-Leva'!G81/1000</f>
        <v>17010.325</v>
      </c>
      <c r="H81" s="280"/>
      <c r="I81" s="259">
        <f>+'Cash-Flow-2021-Leva'!I81/1000</f>
        <v>2121.777</v>
      </c>
      <c r="J81" s="258">
        <f>+'Cash-Flow-2021-Leva'!J81/1000</f>
        <v>4907.052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13272.122</v>
      </c>
      <c r="P81" s="381">
        <f>+G81+J81+M81</f>
        <v>21917.377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-33.213</v>
      </c>
      <c r="G82" s="270">
        <f>+'Cash-Flow-2021-Leva'!G82/1000</f>
        <v>10.067</v>
      </c>
      <c r="H82" s="280"/>
      <c r="I82" s="271">
        <f>+'Cash-Flow-2021-Leva'!I82/1000</f>
        <v>33.213</v>
      </c>
      <c r="J82" s="270">
        <f>+'Cash-Flow-2021-Leva'!J82/1000</f>
        <v>-10.067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11117.132</v>
      </c>
      <c r="G83" s="273">
        <f>+G81+G82</f>
        <v>17020.392</v>
      </c>
      <c r="H83" s="280"/>
      <c r="I83" s="274">
        <f>+I81+I82</f>
        <v>2154.9900000000002</v>
      </c>
      <c r="J83" s="273">
        <f>+J81+J82</f>
        <v>4896.985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13272.122</v>
      </c>
      <c r="P83" s="390">
        <f>+P81+P82</f>
        <v>21917.377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-725.0570000000007</v>
      </c>
      <c r="G85" s="294">
        <f>+G50-G79+G83</f>
        <v>-553.9129999999968</v>
      </c>
      <c r="H85" s="280"/>
      <c r="I85" s="295">
        <f>+I50-I79+I83</f>
        <v>-8.465999999999894</v>
      </c>
      <c r="J85" s="294">
        <f>+J50-J79+J83</f>
        <v>108.26999999999953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-733.5229999999974</v>
      </c>
      <c r="P85" s="392">
        <f>+P50-P79+P83</f>
        <v>-445.64300000000003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725.0570000000002</v>
      </c>
      <c r="G86" s="296">
        <f>+G103+G122+G129-G134</f>
        <v>553.913</v>
      </c>
      <c r="H86" s="280"/>
      <c r="I86" s="297">
        <f>+I103+I122+I129-I134</f>
        <v>8.465999999999994</v>
      </c>
      <c r="J86" s="296">
        <f>+J103+J122+J129-J134</f>
        <v>-108.27</v>
      </c>
      <c r="K86" s="280"/>
      <c r="L86" s="297">
        <f>+L103+L122+L129-L134</f>
        <v>-2.842170943040401E-14</v>
      </c>
      <c r="M86" s="296">
        <f>+M103+M122+M129-M134</f>
        <v>9.237055564881302E-14</v>
      </c>
      <c r="N86" s="466"/>
      <c r="O86" s="393">
        <f>+O103+O122+O129-O134</f>
        <v>733.5230000000005</v>
      </c>
      <c r="P86" s="394">
        <f>+P103+P122+P129-P134</f>
        <v>445.64299999999935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-0.004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-0.004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-0.004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-0.004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48.998</v>
      </c>
      <c r="G100" s="270">
        <f>+'Cash-Flow-2021-Leva'!G100/1000</f>
        <v>439.809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48.998</v>
      </c>
      <c r="P100" s="387">
        <f>+G100+J100+M100</f>
        <v>439.809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48.998</v>
      </c>
      <c r="G101" s="238">
        <f>+SUM(G99:G100)</f>
        <v>439.809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48.998</v>
      </c>
      <c r="P101" s="366">
        <f>+SUM(P99:P100)</f>
        <v>439.809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48.994</v>
      </c>
      <c r="G103" s="260">
        <f>+G91+G97+G101</f>
        <v>439.809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48.994</v>
      </c>
      <c r="P103" s="383">
        <f>+P91+P97+P101</f>
        <v>439.809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-135</v>
      </c>
      <c r="G115" s="270">
        <f>+'Cash-Flow-2021-Leva'!G115/1000</f>
        <v>-180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-135</v>
      </c>
      <c r="P115" s="387">
        <f>+G115+J115+M115</f>
        <v>-180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-135</v>
      </c>
      <c r="G116" s="264">
        <f>+SUM(G114:G115)</f>
        <v>-180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-135</v>
      </c>
      <c r="P116" s="385">
        <f>+SUM(P114:P115)</f>
        <v>-180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28.369</v>
      </c>
      <c r="M118" s="231">
        <f>+'Cash-Flow-2021-Leva'!M118/1000</f>
        <v>51.605</v>
      </c>
      <c r="N118" s="466"/>
      <c r="O118" s="369">
        <f>+F118+I118+L118</f>
        <v>28.369</v>
      </c>
      <c r="P118" s="362">
        <f>+G118+J118+M118</f>
        <v>51.605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28.369</v>
      </c>
      <c r="M120" s="264">
        <f>+SUM(M118:M119)</f>
        <v>51.605</v>
      </c>
      <c r="N120" s="466"/>
      <c r="O120" s="384">
        <f>+SUM(O118:O119)</f>
        <v>28.369</v>
      </c>
      <c r="P120" s="385">
        <f>+SUM(P118:P119)</f>
        <v>51.605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-135</v>
      </c>
      <c r="G122" s="275">
        <f>+G108+G112+G116+G120</f>
        <v>-180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28.369</v>
      </c>
      <c r="M122" s="275">
        <f>+M108+M112+M116+M120</f>
        <v>51.605</v>
      </c>
      <c r="N122" s="466"/>
      <c r="O122" s="388">
        <f>+O108+O112+O116+O120</f>
        <v>-106.631</v>
      </c>
      <c r="P122" s="395">
        <f>+P108+P112+P116+P120</f>
        <v>-128.395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-43.293</v>
      </c>
      <c r="G125" s="270">
        <f>+'Cash-Flow-2021-Leva'!G125/1000</f>
        <v>44.977</v>
      </c>
      <c r="H125" s="280"/>
      <c r="I125" s="271">
        <f>+'Cash-Flow-2021-Leva'!I125/1000</f>
        <v>43.292</v>
      </c>
      <c r="J125" s="270">
        <f>+'Cash-Flow-2021-Leva'!J125/1000</f>
        <v>-44.977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-0.0009999999999976694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-43.293</v>
      </c>
      <c r="G129" s="273">
        <f>+SUM(G124,G125,G126,G128)</f>
        <v>44.977</v>
      </c>
      <c r="H129" s="280"/>
      <c r="I129" s="274">
        <f>+SUM(I124,I125,I126,I128)</f>
        <v>43.292</v>
      </c>
      <c r="J129" s="273">
        <f>+SUM(J124,J125,J126,J128)</f>
        <v>-44.977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-0.0009999999999976694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3208.11</v>
      </c>
      <c r="G131" s="258">
        <f>+'Cash-Flow-2021-Leva'!G131/1000</f>
        <v>3457.237</v>
      </c>
      <c r="H131" s="280"/>
      <c r="I131" s="259">
        <f>+'Cash-Flow-2021-Leva'!I131/1000</f>
        <v>73.107</v>
      </c>
      <c r="J131" s="258">
        <f>+'Cash-Flow-2021-Leva'!J131/1000</f>
        <v>9.814</v>
      </c>
      <c r="K131" s="280"/>
      <c r="L131" s="259">
        <f>+'Cash-Flow-2021-Leva'!L131/1000</f>
        <v>750.204</v>
      </c>
      <c r="M131" s="258">
        <f>+'Cash-Flow-2021-Leva'!M131/1000</f>
        <v>698.599</v>
      </c>
      <c r="N131" s="466"/>
      <c r="O131" s="368">
        <f aca="true" t="shared" si="9" ref="O131:P133">+F131+I131+L131</f>
        <v>4031.4210000000003</v>
      </c>
      <c r="P131" s="381">
        <f t="shared" si="9"/>
        <v>4165.65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2353.754</v>
      </c>
      <c r="G133" s="270">
        <f>+'Cash-Flow-2021-Leva'!G133/1000</f>
        <v>3208.11</v>
      </c>
      <c r="H133" s="280"/>
      <c r="I133" s="271">
        <f>+'Cash-Flow-2021-Leva'!I133/1000</f>
        <v>107.933</v>
      </c>
      <c r="J133" s="270">
        <f>+'Cash-Flow-2021-Leva'!J133/1000</f>
        <v>73.107</v>
      </c>
      <c r="K133" s="280"/>
      <c r="L133" s="271">
        <f>+'Cash-Flow-2021-Leva'!L133/1000</f>
        <v>778.573</v>
      </c>
      <c r="M133" s="270">
        <f>+'Cash-Flow-2021-Leva'!M133/1000</f>
        <v>750.204</v>
      </c>
      <c r="N133" s="466"/>
      <c r="O133" s="364">
        <f t="shared" si="9"/>
        <v>3240.2599999999998</v>
      </c>
      <c r="P133" s="387">
        <f t="shared" si="9"/>
        <v>4031.4210000000003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-854.3560000000002</v>
      </c>
      <c r="G134" s="278">
        <f>+G133-G131-G132</f>
        <v>-249.12699999999995</v>
      </c>
      <c r="H134" s="280"/>
      <c r="I134" s="279">
        <f>+I133-I131-I132</f>
        <v>34.82600000000001</v>
      </c>
      <c r="J134" s="278">
        <f>+J133-J131-J132</f>
        <v>63.293</v>
      </c>
      <c r="K134" s="280"/>
      <c r="L134" s="279">
        <f>+L133-L131-L132</f>
        <v>28.369000000000028</v>
      </c>
      <c r="M134" s="278">
        <f>+M133-M131-M132</f>
        <v>51.604999999999905</v>
      </c>
      <c r="N134" s="466"/>
      <c r="O134" s="397">
        <f>+O133-O131-O132</f>
        <v>-791.1610000000005</v>
      </c>
      <c r="P134" s="398">
        <f>+P133-P131-P132</f>
        <v>-134.22899999999936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-854.3560000000002</v>
      </c>
      <c r="G142" s="278">
        <f>+G134+G140</f>
        <v>-249.12699999999995</v>
      </c>
      <c r="H142" s="280"/>
      <c r="I142" s="539">
        <f>+I134+I140</f>
        <v>34.82600000000001</v>
      </c>
      <c r="J142" s="540">
        <f>+J134+J140</f>
        <v>63.293</v>
      </c>
      <c r="K142" s="280"/>
      <c r="L142" s="539">
        <f>+L134+L140</f>
        <v>28.369000000000028</v>
      </c>
      <c r="M142" s="540">
        <f>+M134+M140</f>
        <v>51.604999999999905</v>
      </c>
      <c r="N142" s="466"/>
      <c r="O142" s="552">
        <f>+O134+O140</f>
        <v>-791.1610000000005</v>
      </c>
      <c r="P142" s="553">
        <f>+P134+P140</f>
        <v>-134.22899999999936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13102021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katia</cp:lastModifiedBy>
  <cp:lastPrinted>2021-07-15T13:35:24Z</cp:lastPrinted>
  <dcterms:created xsi:type="dcterms:W3CDTF">2015-12-01T07:17:04Z</dcterms:created>
  <dcterms:modified xsi:type="dcterms:W3CDTF">2021-10-13T08:40:35Z</dcterms:modified>
  <cp:category/>
  <cp:version/>
  <cp:contentType/>
  <cp:contentStatus/>
</cp:coreProperties>
</file>