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<sst xmlns="http://schemas.openxmlformats.org/spreadsheetml/2006/main" count="547" uniqueCount="376">
  <si>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</si>
  <si>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</si>
  <si>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</si>
  <si>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</si>
  <si>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</si>
  <si>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</si>
  <si>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</si>
  <si>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</si>
  <si>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</si>
  <si>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</si>
  <si>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</si>
  <si>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</si>
  <si>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</si>
  <si>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</si>
  <si>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</si>
  <si>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</si>
  <si>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</si>
  <si>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</si>
  <si>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</si>
  <si>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</si>
  <si>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</si>
  <si>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</si>
  <si>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</si>
  <si>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</si>
  <si>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</si>
  <si>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</si>
  <si>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</si>
  <si>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</si>
  <si>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</si>
  <si>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</si>
  <si>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</si>
  <si>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</si>
  <si>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</si>
  <si>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</si>
  <si>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</si>
  <si>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</si>
  <si>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</si>
  <si>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</si>
  <si>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</si>
  <si>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</si>
  <si>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</si>
  <si>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</si>
  <si>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</si>
  <si>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</si>
  <si>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</si>
  <si>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</si>
  <si>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</si>
  <si>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</si>
  <si>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</si>
  <si>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</si>
  <si>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</si>
  <si>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</si>
  <si>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</si>
  <si>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</si>
  <si>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</si>
  <si>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</si>
  <si>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</si>
  <si>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</si>
  <si>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</si>
  <si>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</si>
  <si>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</si>
  <si>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</si>
  <si>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</si>
  <si>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</si>
  <si>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</si>
  <si>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</si>
  <si>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</si>
  <si>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</si>
  <si>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</si>
  <si>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</si>
  <si>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</si>
  <si>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</si>
  <si>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</si>
  <si>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</si>
  <si>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</si>
  <si>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</si>
  <si>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</si>
  <si>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</si>
  <si>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</si>
  <si>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</si>
  <si>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</si>
  <si>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</si>
  <si>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</si>
  <si>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</si>
  <si>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</si>
  <si>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</si>
  <si>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</si>
  <si>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</si>
  <si>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</si>
  <si>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</si>
  <si>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</si>
  <si>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</si>
  <si>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</si>
  <si>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</si>
  <si>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</si>
  <si>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</si>
  <si>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</si>
  <si>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</si>
  <si>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</si>
  <si>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</si>
  <si>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</si>
  <si>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</si>
  <si>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</si>
  <si>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</si>
  <si>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</si>
  <si>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</si>
  <si>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</si>
  <si>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</si>
  <si>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</si>
  <si>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</si>
  <si>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</si>
  <si>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</si>
  <si>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</si>
  <si>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</si>
  <si>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</si>
  <si>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</si>
  <si>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</si>
  <si>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</si>
  <si>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</si>
  <si>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</si>
  <si>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</si>
  <si>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</si>
  <si>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</si>
  <si>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</si>
  <si>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</si>
  <si>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</si>
  <si>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</si>
  <si>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</si>
  <si>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</si>
  <si>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</si>
  <si>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</si>
  <si>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</si>
  <si>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</si>
  <si>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</si>
  <si>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</si>
  <si>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</si>
  <si>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</si>
  <si>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</si>
  <si>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</si>
  <si>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</si>
  <si>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</si>
  <si>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</si>
  <si>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</si>
  <si>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</si>
  <si>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</si>
  <si>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</si>
  <si>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</si>
  <si>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</si>
  <si>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</si>
  <si>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</si>
  <si>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</si>
  <si>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</si>
  <si>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</si>
  <si>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</si>
  <si>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</si>
  <si>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</si>
  <si>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</si>
  <si>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</si>
  <si>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</si>
  <si>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</si>
  <si>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</si>
  <si>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</si>
  <si>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</si>
  <si>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</si>
  <si>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</si>
  <si>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</si>
  <si>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</si>
  <si>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</si>
  <si>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</si>
  <si>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</si>
  <si>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</si>
  <si>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</si>
  <si>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</si>
  <si>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</si>
  <si>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</si>
  <si>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</si>
  <si>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</si>
  <si>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</si>
  <si>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</si>
  <si>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</si>
  <si>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</si>
  <si>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</si>
  <si>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</si>
  <si>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</si>
  <si>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</si>
  <si>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</si>
  <si>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</si>
  <si>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</si>
  <si>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</si>
  <si>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</si>
  <si>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</si>
  <si>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</si>
  <si>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</si>
  <si>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</si>
  <si>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</si>
  <si>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</si>
  <si>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</si>
  <si>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</si>
  <si>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</si>
  <si>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</si>
  <si>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</si>
  <si>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</si>
  <si>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</si>
  <si>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</si>
  <si>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</si>
  <si>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</si>
  <si>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</si>
  <si>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</si>
  <si>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</si>
  <si>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</si>
  <si>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</si>
  <si>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</si>
  <si>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</si>
  <si>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</si>
  <si>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</si>
  <si>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</si>
  <si>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</si>
  <si>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</si>
  <si>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</si>
  <si>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</si>
  <si>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</si>
  <si>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</si>
  <si>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</si>
  <si>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</si>
  <si>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</si>
  <si>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</si>
  <si>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</si>
  <si>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</si>
  <si>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</si>
  <si>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</si>
  <si>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</si>
  <si>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</si>
  <si>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</si>
  <si>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</si>
  <si>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</si>
  <si>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</si>
  <si>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</si>
  <si>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</si>
  <si>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</si>
  <si>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</si>
  <si>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</si>
  <si>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</si>
  <si>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</si>
  <si>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</si>
  <si>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</si>
  <si>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</si>
  <si>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</si>
  <si>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</si>
  <si>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</si>
  <si>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</si>
  <si>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</si>
  <si>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</si>
  <si>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</si>
  <si>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</si>
  <si>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</si>
  <si>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</si>
  <si>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</si>
  <si>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</si>
  <si>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</si>
  <si>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</si>
  <si>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</si>
  <si>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</si>
  <si>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</si>
  <si>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</si>
  <si>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</si>
  <si>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</si>
  <si>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</si>
  <si>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</si>
  <si>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</si>
  <si>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</si>
  <si>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</si>
  <si>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</si>
  <si>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</si>
  <si>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</si>
  <si>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</si>
  <si>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</si>
  <si>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</si>
  <si>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</si>
  <si>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</si>
  <si>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</si>
  <si>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</si>
  <si>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</si>
  <si>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</si>
  <si>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</si>
  <si>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</si>
  <si>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</si>
  <si>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</si>
  <si>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</si>
  <si>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</si>
  <si>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</si>
  <si>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</si>
  <si>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</si>
  <si>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</si>
  <si>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</si>
  <si>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</si>
  <si>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</si>
  <si>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</si>
  <si>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</si>
  <si>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</si>
  <si>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</si>
  <si>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</si>
  <si>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</si>
  <si>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</si>
  <si>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</si>
  <si>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</si>
  <si>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</si>
  <si>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</si>
  <si>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</si>
  <si>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</si>
  <si>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</si>
  <si>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</si>
  <si>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</si>
  <si>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</si>
  <si>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</si>
  <si>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</si>
  <si>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</si>
  <si>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</si>
  <si>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</si>
  <si>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</si>
  <si>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</si>
  <si>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</si>
  <si>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</si>
  <si>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</si>
  <si>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</si>
  <si>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</si>
  <si>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</si>
  <si>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</si>
  <si>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</si>
  <si>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</si>
  <si>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</si>
  <si>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</si>
  <si>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</si>
  <si>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</si>
  <si>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</si>
  <si>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</si>
  <si>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</si>
  <si>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</si>
  <si>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</si>
  <si>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</si>
  <si>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</si>
  <si>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</si>
  <si>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</si>
  <si>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</si>
  <si>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</si>
  <si>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</si>
  <si>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</si>
  <si>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</si>
  <si>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</si>
  <si>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</si>
  <si>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</si>
  <si>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</si>
  <si>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</si>
  <si>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</si>
  <si>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</si>
  <si>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</si>
  <si>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</si>
  <si>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</si>
  <si>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</si>
  <si>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</si>
  <si>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</si>
  <si>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</si>
  <si>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</si>
  <si>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</si>
  <si>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</si>
  <si>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</si>
  <si>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</si>
  <si>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</si>
  <si>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</si>
  <si>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</si>
  <si>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</si>
  <si>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</si>
  <si>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</si>
  <si>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БЕАТРИЧЕ  ТЪРНАДЖИЙСКА</t>
  </si>
  <si>
    <t>КАЛОЯН      ИЛИЕВ</t>
  </si>
  <si>
    <t>ОБЩИНА  ИХТИМАН</t>
  </si>
  <si>
    <t>ГР.  ИХТИМАН, УЛ. ЦАР ОСВОБОДИТЕЛ №123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</si>
</sst>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27" borderId="2" applyNumberFormat="0" applyAlignment="0" applyProtection="0"/>
    <xf numFmtId="0" fontId="131" fillId="28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6" fillId="29" borderId="6" applyNumberFormat="0" applyAlignment="0" applyProtection="0"/>
    <xf numFmtId="0" fontId="137" fillId="29" borderId="2" applyNumberFormat="0" applyAlignment="0" applyProtection="0"/>
    <xf numFmtId="0" fontId="138" fillId="30" borderId="7" applyNumberFormat="0" applyAlignment="0" applyProtection="0"/>
    <xf numFmtId="0" fontId="139" fillId="31" borderId="0" applyNumberFormat="0" applyBorder="0" applyAlignment="0" applyProtection="0"/>
    <xf numFmtId="0" fontId="140" fillId="32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4" fillId="0" borderId="8" applyNumberFormat="0" applyFill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7" fillId="26" borderId="0" xfId="38" applyFont="1" applyFill="1" applyAlignment="1" applyProtection="1">
      <alignment horizontal="right"/>
      <protection/>
    </xf>
    <xf numFmtId="0" fontId="148" fillId="26" borderId="0" xfId="38" applyFont="1" applyFill="1" applyBorder="1" applyAlignment="1" applyProtection="1">
      <alignment horizontal="center"/>
      <protection/>
    </xf>
    <xf numFmtId="174" fontId="149" fillId="26" borderId="0" xfId="40" applyNumberFormat="1" applyFont="1" applyFill="1" applyAlignment="1" applyProtection="1">
      <alignment/>
      <protection/>
    </xf>
    <xf numFmtId="0" fontId="147" fillId="26" borderId="0" xfId="33" applyFont="1" applyFill="1" applyAlignment="1" applyProtection="1" quotePrefix="1">
      <alignment/>
      <protection/>
    </xf>
    <xf numFmtId="0" fontId="149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2" fillId="38" borderId="0" xfId="33" applyFont="1" applyFill="1" applyBorder="1">
      <alignment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0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9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178" fontId="19" fillId="26" borderId="21" xfId="33" applyNumberFormat="1" applyFont="1" applyFill="1" applyBorder="1" applyAlignment="1">
      <alignment horizontal="center"/>
      <protection/>
    </xf>
    <xf numFmtId="177" fontId="25" fillId="38" borderId="0" xfId="33" applyNumberFormat="1" applyFont="1" applyFill="1" applyBorder="1">
      <alignment/>
      <protection/>
    </xf>
    <xf numFmtId="0" fontId="149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179" fontId="9" fillId="26" borderId="22" xfId="33" applyNumberFormat="1" applyFont="1" applyFill="1" applyBorder="1" applyAlignment="1">
      <alignment horizontal="left"/>
      <protection/>
    </xf>
    <xf numFmtId="179" fontId="9" fillId="26" borderId="21" xfId="33" applyNumberFormat="1" applyFont="1" applyFill="1" applyBorder="1" applyAlignment="1">
      <alignment horizontal="left"/>
      <protection/>
    </xf>
    <xf numFmtId="177" fontId="25" fillId="26" borderId="0" xfId="33" applyNumberFormat="1" applyFont="1" applyFill="1" applyBorder="1">
      <alignment/>
      <protection/>
    </xf>
    <xf numFmtId="177" fontId="25" fillId="26" borderId="19" xfId="33" applyNumberFormat="1" applyFont="1" applyFill="1" applyBorder="1">
      <alignment/>
      <protection/>
    </xf>
    <xf numFmtId="176" fontId="25" fillId="26" borderId="0" xfId="33" applyNumberFormat="1" applyFont="1" applyFill="1" applyBorder="1" applyAlignment="1">
      <alignment horizontal="center"/>
      <protection/>
    </xf>
    <xf numFmtId="176" fontId="25" fillId="26" borderId="19" xfId="33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5" xfId="33" applyFont="1" applyFill="1" applyBorder="1">
      <alignment/>
      <protection/>
    </xf>
    <xf numFmtId="175" fontId="8" fillId="38" borderId="19" xfId="33" applyNumberFormat="1" applyFont="1" applyFill="1" applyBorder="1" applyAlignment="1">
      <alignment horizontal="right"/>
      <protection/>
    </xf>
    <xf numFmtId="0" fontId="9" fillId="38" borderId="26" xfId="33" applyFont="1" applyFill="1" applyBorder="1">
      <alignment/>
      <protection/>
    </xf>
    <xf numFmtId="0" fontId="147" fillId="40" borderId="27" xfId="33" applyFont="1" applyFill="1" applyBorder="1">
      <alignment/>
      <protection/>
    </xf>
    <xf numFmtId="0" fontId="149" fillId="40" borderId="28" xfId="33" applyFont="1" applyFill="1" applyBorder="1">
      <alignment/>
      <protection/>
    </xf>
    <xf numFmtId="0" fontId="149" fillId="40" borderId="29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30" xfId="0" applyFont="1" applyFill="1" applyBorder="1" applyAlignment="1" applyProtection="1">
      <alignment/>
      <protection/>
    </xf>
    <xf numFmtId="0" fontId="3" fillId="26" borderId="20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26" borderId="31" xfId="0" applyNumberFormat="1" applyFont="1" applyFill="1" applyBorder="1" applyAlignment="1" applyProtection="1">
      <alignment horizontal="center"/>
      <protection/>
    </xf>
    <xf numFmtId="174" fontId="12" fillId="26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26" borderId="32" xfId="0" applyFont="1" applyFill="1" applyBorder="1" applyAlignment="1" applyProtection="1">
      <alignment horizontal="right"/>
      <protection/>
    </xf>
    <xf numFmtId="0" fontId="11" fillId="26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4" xfId="40" applyNumberFormat="1" applyFont="1" applyFill="1" applyBorder="1" applyAlignment="1" applyProtection="1">
      <alignment/>
      <protection/>
    </xf>
    <xf numFmtId="38" fontId="8" fillId="33" borderId="34" xfId="40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40" applyNumberFormat="1" applyFont="1" applyFill="1" applyBorder="1" applyAlignment="1" applyProtection="1">
      <alignment/>
      <protection/>
    </xf>
    <xf numFmtId="38" fontId="9" fillId="44" borderId="34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4" xfId="40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5" borderId="48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46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8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54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40" applyNumberFormat="1" applyFont="1" applyFill="1" applyBorder="1" applyAlignment="1" applyProtection="1">
      <alignment/>
      <protection/>
    </xf>
    <xf numFmtId="38" fontId="25" fillId="44" borderId="58" xfId="40" applyNumberFormat="1" applyFont="1" applyFill="1" applyBorder="1" applyAlignment="1" applyProtection="1">
      <alignment/>
      <protection/>
    </xf>
    <xf numFmtId="38" fontId="25" fillId="44" borderId="51" xfId="40" applyNumberFormat="1" applyFont="1" applyFill="1" applyBorder="1" applyAlignment="1" applyProtection="1">
      <alignment/>
      <protection/>
    </xf>
    <xf numFmtId="38" fontId="25" fillId="44" borderId="52" xfId="40" applyNumberFormat="1" applyFont="1" applyFill="1" applyBorder="1" applyAlignment="1" applyProtection="1">
      <alignment/>
      <protection/>
    </xf>
    <xf numFmtId="38" fontId="25" fillId="44" borderId="53" xfId="40" applyNumberFormat="1" applyFont="1" applyFill="1" applyBorder="1" applyAlignment="1" applyProtection="1">
      <alignment/>
      <protection/>
    </xf>
    <xf numFmtId="38" fontId="25" fillId="44" borderId="54" xfId="40" applyNumberFormat="1" applyFont="1" applyFill="1" applyBorder="1" applyAlignment="1" applyProtection="1">
      <alignment/>
      <protection/>
    </xf>
    <xf numFmtId="38" fontId="8" fillId="33" borderId="59" xfId="40" applyNumberFormat="1" applyFont="1" applyFill="1" applyBorder="1" applyAlignment="1" applyProtection="1">
      <alignment/>
      <protection/>
    </xf>
    <xf numFmtId="38" fontId="8" fillId="33" borderId="22" xfId="40" applyNumberFormat="1" applyFont="1" applyFill="1" applyBorder="1" applyAlignment="1" applyProtection="1">
      <alignment/>
      <protection/>
    </xf>
    <xf numFmtId="38" fontId="8" fillId="33" borderId="56" xfId="40" applyNumberFormat="1" applyFont="1" applyFill="1" applyBorder="1" applyAlignment="1" applyProtection="1">
      <alignment/>
      <protection/>
    </xf>
    <xf numFmtId="38" fontId="25" fillId="44" borderId="47" xfId="40" applyNumberFormat="1" applyFont="1" applyFill="1" applyBorder="1" applyAlignment="1" applyProtection="1">
      <alignment/>
      <protection/>
    </xf>
    <xf numFmtId="38" fontId="25" fillId="44" borderId="48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47" borderId="61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40" applyNumberFormat="1" applyFont="1" applyFill="1" applyBorder="1" applyAlignment="1" applyProtection="1">
      <alignment/>
      <protection/>
    </xf>
    <xf numFmtId="38" fontId="9" fillId="33" borderId="62" xfId="40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26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26" borderId="47" xfId="0" applyFont="1" applyFill="1" applyBorder="1" applyAlignment="1" applyProtection="1">
      <alignment horizontal="right"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9" fillId="33" borderId="64" xfId="40" applyNumberFormat="1" applyFont="1" applyFill="1" applyBorder="1" applyAlignment="1" applyProtection="1">
      <alignment/>
      <protection/>
    </xf>
    <xf numFmtId="38" fontId="15" fillId="33" borderId="65" xfId="40" applyNumberFormat="1" applyFont="1" applyFill="1" applyBorder="1" applyAlignment="1" applyProtection="1">
      <alignment/>
      <protection/>
    </xf>
    <xf numFmtId="38" fontId="8" fillId="33" borderId="66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38" fontId="8" fillId="44" borderId="59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9" fillId="44" borderId="63" xfId="40" applyNumberFormat="1" applyFont="1" applyFill="1" applyBorder="1" applyAlignment="1" applyProtection="1">
      <alignment/>
      <protection/>
    </xf>
    <xf numFmtId="38" fontId="9" fillId="44" borderId="67" xfId="40" applyNumberFormat="1" applyFont="1" applyFill="1" applyBorder="1" applyAlignment="1" applyProtection="1">
      <alignment/>
      <protection/>
    </xf>
    <xf numFmtId="38" fontId="25" fillId="44" borderId="55" xfId="40" applyNumberFormat="1" applyFont="1" applyFill="1" applyBorder="1" applyAlignment="1" applyProtection="1">
      <alignment/>
      <protection/>
    </xf>
    <xf numFmtId="38" fontId="25" fillId="44" borderId="63" xfId="40" applyNumberFormat="1" applyFont="1" applyFill="1" applyBorder="1" applyAlignment="1" applyProtection="1">
      <alignment/>
      <protection/>
    </xf>
    <xf numFmtId="38" fontId="25" fillId="44" borderId="64" xfId="40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40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40" applyNumberFormat="1" applyFont="1" applyFill="1" applyBorder="1" applyAlignment="1" applyProtection="1">
      <alignment/>
      <protection/>
    </xf>
    <xf numFmtId="38" fontId="159" fillId="47" borderId="67" xfId="40" applyNumberFormat="1" applyFont="1" applyFill="1" applyBorder="1" applyAlignment="1" applyProtection="1">
      <alignment/>
      <protection/>
    </xf>
    <xf numFmtId="38" fontId="9" fillId="33" borderId="67" xfId="40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10" fillId="33" borderId="48" xfId="36" applyFont="1" applyFill="1" applyBorder="1" applyAlignment="1" applyProtection="1" quotePrefix="1">
      <alignment horizontal="left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38" fontId="8" fillId="44" borderId="59" xfId="40" applyNumberFormat="1" applyFont="1" applyFill="1" applyBorder="1" applyAlignment="1" applyProtection="1">
      <alignment horizontal="center"/>
      <protection/>
    </xf>
    <xf numFmtId="38" fontId="8" fillId="44" borderId="22" xfId="40" applyNumberFormat="1" applyFont="1" applyFill="1" applyBorder="1" applyAlignment="1" applyProtection="1">
      <alignment horizontal="center"/>
      <protection/>
    </xf>
    <xf numFmtId="38" fontId="8" fillId="44" borderId="56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63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52" xfId="40" applyNumberFormat="1" applyFont="1" applyFill="1" applyBorder="1" applyAlignment="1" applyProtection="1">
      <alignment horizontal="center"/>
      <protection/>
    </xf>
    <xf numFmtId="38" fontId="9" fillId="44" borderId="67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38" fontId="9" fillId="44" borderId="61" xfId="40" applyNumberFormat="1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48" xfId="36" applyFont="1" applyFill="1" applyBorder="1" applyAlignment="1" applyProtection="1">
      <alignment horizontal="center"/>
      <protection/>
    </xf>
    <xf numFmtId="0" fontId="3" fillId="33" borderId="59" xfId="36" applyFont="1" applyFill="1" applyBorder="1" applyAlignment="1" applyProtection="1">
      <alignment horizontal="center"/>
      <protection/>
    </xf>
    <xf numFmtId="0" fontId="3" fillId="33" borderId="22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25" fillId="44" borderId="46" xfId="40" applyNumberFormat="1" applyFont="1" applyFill="1" applyBorder="1" applyAlignment="1" applyProtection="1">
      <alignment horizontal="center"/>
      <protection/>
    </xf>
    <xf numFmtId="38" fontId="25" fillId="44" borderId="47" xfId="40" applyNumberFormat="1" applyFont="1" applyFill="1" applyBorder="1" applyAlignment="1" applyProtection="1">
      <alignment horizontal="center"/>
      <protection/>
    </xf>
    <xf numFmtId="38" fontId="25" fillId="44" borderId="48" xfId="40" applyNumberFormat="1" applyFont="1" applyFill="1" applyBorder="1" applyAlignment="1" applyProtection="1">
      <alignment horizontal="center"/>
      <protection/>
    </xf>
    <xf numFmtId="38" fontId="8" fillId="33" borderId="59" xfId="40" applyNumberFormat="1" applyFont="1" applyFill="1" applyBorder="1" applyAlignment="1" applyProtection="1">
      <alignment horizontal="center"/>
      <protection/>
    </xf>
    <xf numFmtId="38" fontId="8" fillId="33" borderId="22" xfId="40" applyNumberFormat="1" applyFont="1" applyFill="1" applyBorder="1" applyAlignment="1" applyProtection="1">
      <alignment horizontal="center"/>
      <protection/>
    </xf>
    <xf numFmtId="38" fontId="8" fillId="33" borderId="56" xfId="40" applyNumberFormat="1" applyFont="1" applyFill="1" applyBorder="1" applyAlignment="1" applyProtection="1">
      <alignment horizontal="center"/>
      <protection/>
    </xf>
    <xf numFmtId="3" fontId="11" fillId="33" borderId="67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3" fontId="11" fillId="33" borderId="61" xfId="36" applyNumberFormat="1" applyFont="1" applyFill="1" applyBorder="1" applyAlignment="1" applyProtection="1">
      <alignment horizontal="center"/>
      <protection/>
    </xf>
    <xf numFmtId="0" fontId="5" fillId="39" borderId="71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0" fontId="5" fillId="39" borderId="41" xfId="36" applyFont="1" applyFill="1" applyBorder="1" applyAlignment="1" applyProtection="1">
      <alignment horizontal="left"/>
      <protection/>
    </xf>
    <xf numFmtId="174" fontId="5" fillId="39" borderId="70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174" fontId="5" fillId="39" borderId="43" xfId="36" applyNumberFormat="1" applyFont="1" applyFill="1" applyBorder="1" applyAlignment="1" applyProtection="1">
      <alignment horizontal="left"/>
      <protection/>
    </xf>
    <xf numFmtId="38" fontId="15" fillId="33" borderId="65" xfId="40" applyNumberFormat="1" applyFont="1" applyFill="1" applyBorder="1" applyAlignment="1" applyProtection="1">
      <alignment horizontal="left"/>
      <protection/>
    </xf>
    <xf numFmtId="38" fontId="15" fillId="33" borderId="34" xfId="40" applyNumberFormat="1" applyFont="1" applyFill="1" applyBorder="1" applyAlignment="1" applyProtection="1">
      <alignment horizontal="left"/>
      <protection/>
    </xf>
    <xf numFmtId="38" fontId="8" fillId="33" borderId="66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50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34" xfId="40" applyNumberFormat="1" applyFont="1" applyFill="1" applyBorder="1" applyAlignment="1" applyProtection="1">
      <alignment horizontal="left"/>
      <protection/>
    </xf>
    <xf numFmtId="0" fontId="161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65" fillId="49" borderId="0" xfId="37" applyFont="1" applyFill="1" applyBorder="1" applyAlignment="1" applyProtection="1">
      <alignment horizontal="center"/>
      <protection/>
    </xf>
    <xf numFmtId="174" fontId="164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6" fillId="35" borderId="22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6" fillId="35" borderId="0" xfId="39" applyFont="1" applyFill="1" applyBorder="1" applyAlignment="1" applyProtection="1">
      <alignment/>
      <protection/>
    </xf>
    <xf numFmtId="0" fontId="165" fillId="33" borderId="0" xfId="37" applyFont="1" applyFill="1" applyBorder="1" applyAlignment="1" applyProtection="1">
      <alignment horizontal="center"/>
      <protection/>
    </xf>
    <xf numFmtId="172" fontId="58" fillId="50" borderId="31" xfId="39" applyNumberFormat="1" applyFont="1" applyFill="1" applyBorder="1" applyAlignment="1" applyProtection="1">
      <alignment horizontal="center" vertical="center"/>
      <protection locked="0"/>
    </xf>
    <xf numFmtId="174" fontId="147" fillId="26" borderId="0" xfId="40" applyNumberFormat="1" applyFont="1" applyFill="1" applyAlignment="1" applyProtection="1">
      <alignment/>
      <protection/>
    </xf>
    <xf numFmtId="0" fontId="149" fillId="35" borderId="0" xfId="39" applyFont="1" applyFill="1" applyBorder="1" applyProtection="1">
      <alignment/>
      <protection/>
    </xf>
    <xf numFmtId="0" fontId="167" fillId="35" borderId="0" xfId="39" applyFont="1" applyFill="1" applyBorder="1" applyProtection="1">
      <alignment/>
      <protection/>
    </xf>
    <xf numFmtId="0" fontId="167" fillId="35" borderId="0" xfId="39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22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72" fontId="13" fillId="36" borderId="31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26" borderId="49" xfId="0" applyFont="1" applyFill="1" applyBorder="1" applyAlignment="1" applyProtection="1">
      <alignment horizontal="center"/>
      <protection locked="0"/>
    </xf>
    <xf numFmtId="172" fontId="170" fillId="33" borderId="31" xfId="39" applyNumberFormat="1" applyFont="1" applyFill="1" applyBorder="1" applyAlignment="1" applyProtection="1">
      <alignment horizontal="center" vertical="center"/>
      <protection/>
    </xf>
    <xf numFmtId="172" fontId="171" fillId="33" borderId="31" xfId="39" applyNumberFormat="1" applyFont="1" applyFill="1" applyBorder="1" applyAlignment="1" applyProtection="1">
      <alignment horizontal="center" vertical="center"/>
      <protection/>
    </xf>
    <xf numFmtId="0" fontId="9" fillId="33" borderId="31" xfId="39" applyNumberFormat="1" applyFont="1" applyFill="1" applyBorder="1" applyAlignment="1" applyProtection="1">
      <alignment horizontal="center" vertical="center"/>
      <protection/>
    </xf>
    <xf numFmtId="0" fontId="9" fillId="38" borderId="31" xfId="39" applyNumberFormat="1" applyFont="1" applyFill="1" applyBorder="1" applyAlignment="1" applyProtection="1">
      <alignment horizontal="center" vertical="center"/>
      <protection locked="0"/>
    </xf>
    <xf numFmtId="38" fontId="18" fillId="33" borderId="64" xfId="40" applyNumberFormat="1" applyFont="1" applyFill="1" applyBorder="1" applyAlignment="1" applyProtection="1">
      <alignment/>
      <protection/>
    </xf>
    <xf numFmtId="38" fontId="18" fillId="33" borderId="63" xfId="40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40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26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26" borderId="36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2" fillId="26" borderId="119" xfId="0" applyNumberFormat="1" applyFont="1" applyFill="1" applyBorder="1" applyAlignment="1" applyProtection="1" quotePrefix="1">
      <alignment/>
      <protection/>
    </xf>
    <xf numFmtId="174" fontId="173" fillId="26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39" applyFont="1" applyFill="1" applyBorder="1" applyProtection="1">
      <alignment/>
      <protection/>
    </xf>
    <xf numFmtId="0" fontId="36" fillId="33" borderId="47" xfId="39" applyFont="1" applyFill="1" applyBorder="1" applyProtection="1">
      <alignment/>
      <protection/>
    </xf>
    <xf numFmtId="0" fontId="36" fillId="33" borderId="33" xfId="39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5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40" applyNumberFormat="1" applyFont="1" applyFill="1" applyBorder="1" applyAlignment="1" applyProtection="1">
      <alignment/>
      <protection/>
    </xf>
    <xf numFmtId="38" fontId="9" fillId="44" borderId="48" xfId="40" applyNumberFormat="1" applyFont="1" applyFill="1" applyBorder="1" applyAlignment="1" applyProtection="1">
      <alignment/>
      <protection/>
    </xf>
    <xf numFmtId="38" fontId="179" fillId="44" borderId="46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26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26" borderId="72" xfId="33" applyFont="1" applyFill="1" applyBorder="1">
      <alignment/>
      <protection/>
    </xf>
    <xf numFmtId="0" fontId="23" fillId="26" borderId="22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23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150" fillId="26" borderId="30" xfId="33" applyFont="1" applyFill="1" applyBorder="1">
      <alignment/>
      <protection/>
    </xf>
    <xf numFmtId="0" fontId="23" fillId="26" borderId="19" xfId="33" applyFont="1" applyFill="1" applyBorder="1">
      <alignment/>
      <protection/>
    </xf>
    <xf numFmtId="0" fontId="150" fillId="26" borderId="72" xfId="33" applyFont="1" applyFill="1" applyBorder="1" quotePrefix="1">
      <alignment/>
      <protection/>
    </xf>
    <xf numFmtId="0" fontId="150" fillId="26" borderId="17" xfId="33" applyFont="1" applyFill="1" applyBorder="1" quotePrefix="1">
      <alignment/>
      <protection/>
    </xf>
    <xf numFmtId="176" fontId="29" fillId="53" borderId="0" xfId="33" applyNumberFormat="1" applyFont="1" applyFill="1" applyBorder="1" applyAlignment="1">
      <alignment horizontal="center"/>
      <protection/>
    </xf>
    <xf numFmtId="179" fontId="29" fillId="53" borderId="0" xfId="33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6" fontId="25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5" fillId="33" borderId="0" xfId="33" applyNumberFormat="1" applyFont="1" applyFill="1" applyBorder="1" applyAlignment="1">
      <alignment/>
      <protection/>
    </xf>
    <xf numFmtId="179" fontId="25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>
      <alignment/>
      <protection/>
    </xf>
    <xf numFmtId="0" fontId="9" fillId="33" borderId="0" xfId="33" applyFont="1" applyFill="1" applyBorder="1">
      <alignment/>
      <protection/>
    </xf>
    <xf numFmtId="0" fontId="8" fillId="26" borderId="72" xfId="33" applyFont="1" applyFill="1" applyBorder="1">
      <alignment/>
      <protection/>
    </xf>
    <xf numFmtId="0" fontId="8" fillId="26" borderId="3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72" xfId="33" applyFont="1" applyFill="1" applyBorder="1">
      <alignment/>
      <protection/>
    </xf>
    <xf numFmtId="0" fontId="9" fillId="26" borderId="17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9" fillId="26" borderId="30" xfId="33" applyFont="1" applyFill="1" applyBorder="1">
      <alignment/>
      <protection/>
    </xf>
    <xf numFmtId="0" fontId="9" fillId="38" borderId="19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7" borderId="0" xfId="33" applyFont="1" applyFill="1">
      <alignment/>
      <protection/>
    </xf>
    <xf numFmtId="178" fontId="25" fillId="26" borderId="22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7" fontId="25" fillId="33" borderId="0" xfId="33" applyNumberFormat="1" applyFont="1" applyFill="1" applyBorder="1" applyAlignment="1">
      <alignment horizontal="center"/>
      <protection/>
    </xf>
    <xf numFmtId="178" fontId="25" fillId="38" borderId="0" xfId="33" applyNumberFormat="1" applyFont="1" applyFill="1" applyBorder="1" applyAlignment="1">
      <alignment horizontal="center"/>
      <protection/>
    </xf>
    <xf numFmtId="193" fontId="147" fillId="40" borderId="28" xfId="34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9" fontId="25" fillId="33" borderId="0" xfId="33" applyNumberFormat="1" applyFont="1" applyFill="1" applyBorder="1" applyAlignment="1">
      <alignment horizontal="center"/>
      <protection/>
    </xf>
    <xf numFmtId="177" fontId="25" fillId="53" borderId="0" xfId="33" applyNumberFormat="1" applyFont="1" applyFill="1" applyBorder="1" applyAlignment="1">
      <alignment horizontal="center"/>
      <protection/>
    </xf>
    <xf numFmtId="176" fontId="25" fillId="26" borderId="0" xfId="33" applyNumberFormat="1" applyFont="1" applyFill="1" applyBorder="1" applyAlignment="1">
      <alignment horizontal="center"/>
      <protection/>
    </xf>
    <xf numFmtId="38" fontId="179" fillId="44" borderId="46" xfId="40" applyNumberFormat="1" applyFont="1" applyFill="1" applyBorder="1" applyAlignment="1" applyProtection="1">
      <alignment horizontal="center"/>
      <protection/>
    </xf>
    <xf numFmtId="38" fontId="179" fillId="44" borderId="47" xfId="40" applyNumberFormat="1" applyFont="1" applyFill="1" applyBorder="1" applyAlignment="1" applyProtection="1">
      <alignment horizontal="center"/>
      <protection/>
    </xf>
    <xf numFmtId="38" fontId="179" fillId="44" borderId="48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186" fontId="180" fillId="46" borderId="32" xfId="33" applyNumberFormat="1" applyFont="1" applyFill="1" applyBorder="1" applyAlignment="1" applyProtection="1">
      <alignment horizontal="center" vertical="center"/>
      <protection locked="0"/>
    </xf>
    <xf numFmtId="186" fontId="180" fillId="46" borderId="33" xfId="33" applyNumberFormat="1" applyFont="1" applyFill="1" applyBorder="1" applyAlignment="1" applyProtection="1">
      <alignment horizontal="center" vertical="center"/>
      <protection locked="0"/>
    </xf>
    <xf numFmtId="0" fontId="4" fillId="33" borderId="70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0" fontId="4" fillId="33" borderId="43" xfId="36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8" fillId="46" borderId="48" xfId="40" applyNumberFormat="1" applyFont="1" applyFill="1" applyBorder="1" applyAlignment="1" applyProtection="1">
      <alignment horizontal="center"/>
      <protection/>
    </xf>
    <xf numFmtId="0" fontId="4" fillId="48" borderId="68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48" borderId="45" xfId="36" applyFont="1" applyFill="1" applyBorder="1" applyAlignment="1" applyProtection="1" quotePrefix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38" fontId="48" fillId="33" borderId="66" xfId="40" applyNumberFormat="1" applyFont="1" applyFill="1" applyBorder="1" applyAlignment="1" applyProtection="1">
      <alignment horizontal="center"/>
      <protection/>
    </xf>
    <xf numFmtId="38" fontId="48" fillId="33" borderId="49" xfId="40" applyNumberFormat="1" applyFont="1" applyFill="1" applyBorder="1" applyAlignment="1" applyProtection="1">
      <alignment horizontal="center"/>
      <protection/>
    </xf>
    <xf numFmtId="38" fontId="48" fillId="33" borderId="50" xfId="40" applyNumberFormat="1" applyFont="1" applyFill="1" applyBorder="1" applyAlignment="1" applyProtection="1">
      <alignment horizontal="center"/>
      <protection/>
    </xf>
    <xf numFmtId="38" fontId="14" fillId="33" borderId="64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4" fillId="33" borderId="54" xfId="40" applyNumberFormat="1" applyFont="1" applyFill="1" applyBorder="1" applyAlignment="1" applyProtection="1">
      <alignment horizontal="center"/>
      <protection/>
    </xf>
    <xf numFmtId="0" fontId="4" fillId="5" borderId="68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0" fontId="4" fillId="5" borderId="45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9" fillId="33" borderId="54" xfId="40" applyNumberFormat="1" applyFont="1" applyFill="1" applyBorder="1" applyAlignment="1" applyProtection="1">
      <alignment horizontal="left"/>
      <protection/>
    </xf>
    <xf numFmtId="38" fontId="159" fillId="47" borderId="69" xfId="40" applyNumberFormat="1" applyFont="1" applyFill="1" applyBorder="1" applyAlignment="1" applyProtection="1">
      <alignment horizontal="center"/>
      <protection/>
    </xf>
    <xf numFmtId="38" fontId="159" fillId="47" borderId="19" xfId="40" applyNumberFormat="1" applyFont="1" applyFill="1" applyBorder="1" applyAlignment="1" applyProtection="1">
      <alignment horizontal="center"/>
      <protection/>
    </xf>
    <xf numFmtId="38" fontId="159" fillId="47" borderId="62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0" fontId="4" fillId="39" borderId="68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39" borderId="45" xfId="36" applyFont="1" applyFill="1" applyBorder="1" applyAlignment="1" applyProtection="1">
      <alignment horizontal="center"/>
      <protection/>
    </xf>
    <xf numFmtId="38" fontId="25" fillId="44" borderId="55" xfId="40" applyNumberFormat="1" applyFont="1" applyFill="1" applyBorder="1" applyAlignment="1" applyProtection="1">
      <alignment horizontal="center"/>
      <protection/>
    </xf>
    <xf numFmtId="38" fontId="25" fillId="44" borderId="57" xfId="40" applyNumberFormat="1" applyFont="1" applyFill="1" applyBorder="1" applyAlignment="1" applyProtection="1">
      <alignment horizontal="center"/>
      <protection/>
    </xf>
    <xf numFmtId="38" fontId="25" fillId="44" borderId="58" xfId="40" applyNumberFormat="1" applyFont="1" applyFill="1" applyBorder="1" applyAlignment="1" applyProtection="1">
      <alignment horizontal="center"/>
      <protection/>
    </xf>
    <xf numFmtId="38" fontId="25" fillId="44" borderId="63" xfId="40" applyNumberFormat="1" applyFont="1" applyFill="1" applyBorder="1" applyAlignment="1" applyProtection="1">
      <alignment horizontal="center"/>
      <protection/>
    </xf>
    <xf numFmtId="38" fontId="25" fillId="44" borderId="51" xfId="40" applyNumberFormat="1" applyFont="1" applyFill="1" applyBorder="1" applyAlignment="1" applyProtection="1">
      <alignment horizontal="center"/>
      <protection/>
    </xf>
    <xf numFmtId="38" fontId="25" fillId="44" borderId="52" xfId="40" applyNumberFormat="1" applyFont="1" applyFill="1" applyBorder="1" applyAlignment="1" applyProtection="1">
      <alignment horizontal="center"/>
      <protection/>
    </xf>
    <xf numFmtId="38" fontId="25" fillId="44" borderId="64" xfId="40" applyNumberFormat="1" applyFont="1" applyFill="1" applyBorder="1" applyAlignment="1" applyProtection="1">
      <alignment horizontal="center"/>
      <protection/>
    </xf>
    <xf numFmtId="38" fontId="25" fillId="44" borderId="53" xfId="40" applyNumberFormat="1" applyFont="1" applyFill="1" applyBorder="1" applyAlignment="1" applyProtection="1">
      <alignment horizontal="center"/>
      <protection/>
    </xf>
    <xf numFmtId="38" fontId="25" fillId="44" borderId="54" xfId="40" applyNumberFormat="1" applyFont="1" applyFill="1" applyBorder="1" applyAlignment="1" applyProtection="1">
      <alignment horizontal="center"/>
      <protection/>
    </xf>
    <xf numFmtId="38" fontId="9" fillId="33" borderId="67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1" xfId="40" applyNumberFormat="1" applyFont="1" applyFill="1" applyBorder="1" applyAlignment="1" applyProtection="1">
      <alignment horizontal="center"/>
      <protection/>
    </xf>
    <xf numFmtId="38" fontId="25" fillId="54" borderId="46" xfId="40" applyNumberFormat="1" applyFont="1" applyFill="1" applyBorder="1" applyAlignment="1" applyProtection="1">
      <alignment horizontal="center"/>
      <protection/>
    </xf>
    <xf numFmtId="38" fontId="25" fillId="54" borderId="47" xfId="40" applyNumberFormat="1" applyFont="1" applyFill="1" applyBorder="1" applyAlignment="1" applyProtection="1">
      <alignment horizontal="center"/>
      <protection/>
    </xf>
    <xf numFmtId="38" fontId="25" fillId="54" borderId="48" xfId="40" applyNumberFormat="1" applyFont="1" applyFill="1" applyBorder="1" applyAlignment="1" applyProtection="1">
      <alignment horizontal="center"/>
      <protection/>
    </xf>
    <xf numFmtId="0" fontId="181" fillId="26" borderId="0" xfId="36" applyFont="1" applyFill="1" applyBorder="1" applyAlignment="1" applyProtection="1">
      <alignment horizontal="center"/>
      <protection/>
    </xf>
    <xf numFmtId="185" fontId="156" fillId="33" borderId="32" xfId="36" applyNumberFormat="1" applyFont="1" applyFill="1" applyBorder="1" applyAlignment="1" applyProtection="1">
      <alignment horizontal="center"/>
      <protection/>
    </xf>
    <xf numFmtId="185" fontId="156" fillId="33" borderId="47" xfId="36" applyNumberFormat="1" applyFont="1" applyFill="1" applyBorder="1" applyAlignment="1" applyProtection="1">
      <alignment horizontal="center"/>
      <protection/>
    </xf>
    <xf numFmtId="185" fontId="156" fillId="33" borderId="33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0" fillId="33" borderId="48" xfId="36" applyFont="1" applyFill="1" applyBorder="1" applyAlignment="1" applyProtection="1">
      <alignment horizontal="center" vertical="center" wrapText="1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82" fillId="26" borderId="0" xfId="36" applyNumberFormat="1" applyFont="1" applyFill="1" applyBorder="1" applyAlignment="1" applyProtection="1">
      <alignment horizontal="center"/>
      <protection/>
    </xf>
    <xf numFmtId="0" fontId="147" fillId="26" borderId="0" xfId="33" applyFont="1" applyFill="1" applyAlignment="1" applyProtection="1" quotePrefix="1">
      <alignment horizontal="center"/>
      <protection/>
    </xf>
    <xf numFmtId="187" fontId="147" fillId="33" borderId="32" xfId="38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38" applyNumberFormat="1" applyFont="1" applyFill="1" applyBorder="1" applyAlignment="1" applyProtection="1" quotePrefix="1">
      <alignment horizontal="center" vertical="center"/>
      <protection locked="0"/>
    </xf>
    <xf numFmtId="0" fontId="146" fillId="36" borderId="32" xfId="70" applyFill="1" applyBorder="1" applyAlignment="1" applyProtection="1">
      <alignment horizontal="center" vertical="center"/>
      <protection locked="0"/>
    </xf>
    <xf numFmtId="0" fontId="183" fillId="36" borderId="47" xfId="70" applyFont="1" applyFill="1" applyBorder="1" applyAlignment="1" applyProtection="1">
      <alignment horizontal="center" vertical="center"/>
      <protection locked="0"/>
    </xf>
    <xf numFmtId="0" fontId="183" fillId="36" borderId="33" xfId="70" applyFont="1" applyFill="1" applyBorder="1" applyAlignment="1" applyProtection="1">
      <alignment horizontal="center" vertical="center"/>
      <protection locked="0"/>
    </xf>
    <xf numFmtId="38" fontId="146" fillId="33" borderId="32" xfId="70" applyNumberFormat="1" applyFill="1" applyBorder="1" applyAlignment="1" applyProtection="1">
      <alignment horizontal="center" vertical="center"/>
      <protection locked="0"/>
    </xf>
    <xf numFmtId="38" fontId="184" fillId="33" borderId="47" xfId="70" applyNumberFormat="1" applyFont="1" applyFill="1" applyBorder="1" applyAlignment="1" applyProtection="1">
      <alignment horizontal="center" vertical="center"/>
      <protection locked="0"/>
    </xf>
    <xf numFmtId="38" fontId="184" fillId="33" borderId="33" xfId="70" applyNumberFormat="1" applyFont="1" applyFill="1" applyBorder="1" applyAlignment="1" applyProtection="1">
      <alignment horizontal="center" vertical="center"/>
      <protection locked="0"/>
    </xf>
    <xf numFmtId="0" fontId="56" fillId="50" borderId="124" xfId="39" applyFont="1" applyFill="1" applyBorder="1" applyAlignment="1" applyProtection="1">
      <alignment horizontal="center" wrapText="1"/>
      <protection locked="0"/>
    </xf>
    <xf numFmtId="0" fontId="56" fillId="50" borderId="57" xfId="39" applyFont="1" applyFill="1" applyBorder="1" applyAlignment="1" applyProtection="1">
      <alignment horizontal="center" wrapText="1"/>
      <protection locked="0"/>
    </xf>
    <xf numFmtId="0" fontId="56" fillId="50" borderId="125" xfId="39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5" fillId="26" borderId="49" xfId="33" applyFont="1" applyFill="1" applyBorder="1" applyAlignment="1" applyProtection="1" quotePrefix="1">
      <alignment horizontal="center"/>
      <protection/>
    </xf>
    <xf numFmtId="0" fontId="186" fillId="38" borderId="30" xfId="39" applyFont="1" applyFill="1" applyBorder="1" applyAlignment="1" applyProtection="1">
      <alignment horizontal="center" vertical="center" wrapText="1"/>
      <protection locked="0"/>
    </xf>
    <xf numFmtId="0" fontId="186" fillId="38" borderId="19" xfId="39" applyFont="1" applyFill="1" applyBorder="1" applyAlignment="1" applyProtection="1">
      <alignment horizontal="center" vertical="center" wrapText="1"/>
      <protection locked="0"/>
    </xf>
    <xf numFmtId="0" fontId="186" fillId="38" borderId="20" xfId="39" applyFont="1" applyFill="1" applyBorder="1" applyAlignment="1" applyProtection="1">
      <alignment horizontal="center" vertical="center" wrapText="1"/>
      <protection locked="0"/>
    </xf>
    <xf numFmtId="0" fontId="187" fillId="33" borderId="65" xfId="37" applyFont="1" applyFill="1" applyBorder="1" applyAlignment="1" applyProtection="1">
      <alignment horizontal="center"/>
      <protection/>
    </xf>
    <xf numFmtId="0" fontId="187" fillId="33" borderId="0" xfId="37" applyFont="1" applyFill="1" applyBorder="1" applyAlignment="1" applyProtection="1">
      <alignment horizontal="center"/>
      <protection/>
    </xf>
    <xf numFmtId="0" fontId="187" fillId="33" borderId="34" xfId="37" applyFont="1" applyFill="1" applyBorder="1" applyAlignment="1" applyProtection="1">
      <alignment horizontal="center"/>
      <protection/>
    </xf>
    <xf numFmtId="0" fontId="165" fillId="49" borderId="119" xfId="37" applyFont="1" applyFill="1" applyBorder="1" applyAlignment="1" applyProtection="1">
      <alignment horizontal="center"/>
      <protection/>
    </xf>
    <xf numFmtId="0" fontId="31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2" fillId="33" borderId="0" xfId="36" applyNumberFormat="1" applyFont="1" applyFill="1" applyBorder="1" applyAlignment="1" applyProtection="1">
      <alignment horizontal="center"/>
      <protection/>
    </xf>
    <xf numFmtId="0" fontId="185" fillId="33" borderId="49" xfId="33" applyFont="1" applyFill="1" applyBorder="1" applyAlignment="1" applyProtection="1" quotePrefix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185" fontId="4" fillId="26" borderId="47" xfId="36" applyNumberFormat="1" applyFont="1" applyFill="1" applyBorder="1" applyAlignment="1" applyProtection="1">
      <alignment horizontal="center"/>
      <protection/>
    </xf>
    <xf numFmtId="185" fontId="4" fillId="26" borderId="33" xfId="36" applyNumberFormat="1" applyFont="1" applyFill="1" applyBorder="1" applyAlignment="1" applyProtection="1">
      <alignment horizontal="center"/>
      <protection/>
    </xf>
    <xf numFmtId="0" fontId="187" fillId="33" borderId="119" xfId="37" applyFont="1" applyFill="1" applyBorder="1" applyAlignment="1" applyProtection="1">
      <alignment horizontal="center"/>
      <protection/>
    </xf>
    <xf numFmtId="0" fontId="187" fillId="33" borderId="126" xfId="37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7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7" fontId="8" fillId="33" borderId="33" xfId="38" applyNumberFormat="1" applyFont="1" applyFill="1" applyBorder="1" applyAlignment="1" applyProtection="1" quotePrefix="1">
      <alignment horizontal="center" vertical="center"/>
      <protection/>
    </xf>
    <xf numFmtId="186" fontId="180" fillId="46" borderId="32" xfId="33" applyNumberFormat="1" applyFont="1" applyFill="1" applyBorder="1" applyAlignment="1" applyProtection="1">
      <alignment horizontal="center" vertical="center"/>
      <protection/>
    </xf>
    <xf numFmtId="186" fontId="180" fillId="46" borderId="33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9" fillId="33" borderId="30" xfId="39" applyFont="1" applyFill="1" applyBorder="1" applyAlignment="1" applyProtection="1">
      <alignment horizontal="center" vertical="center" wrapText="1"/>
      <protection/>
    </xf>
    <xf numFmtId="0" fontId="59" fillId="33" borderId="19" xfId="39" applyFont="1" applyFill="1" applyBorder="1" applyAlignment="1" applyProtection="1">
      <alignment horizontal="center" vertical="center" wrapText="1"/>
      <protection/>
    </xf>
    <xf numFmtId="0" fontId="59" fillId="33" borderId="20" xfId="39" applyFont="1" applyFill="1" applyBorder="1" applyAlignment="1" applyProtection="1">
      <alignment horizontal="center" vertical="center" wrapText="1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38" fontId="11" fillId="33" borderId="47" xfId="70" applyNumberFormat="1" applyFont="1" applyFill="1" applyBorder="1" applyAlignment="1" applyProtection="1">
      <alignment horizontal="center" vertical="center"/>
      <protection/>
    </xf>
    <xf numFmtId="38" fontId="11" fillId="33" borderId="33" xfId="70" applyNumberFormat="1" applyFont="1" applyFill="1" applyBorder="1" applyAlignment="1" applyProtection="1">
      <alignment horizontal="center" vertical="center"/>
      <protection/>
    </xf>
    <xf numFmtId="0" fontId="188" fillId="36" borderId="32" xfId="70" applyFont="1" applyFill="1" applyBorder="1" applyAlignment="1" applyProtection="1">
      <alignment horizontal="center" vertical="center"/>
      <protection/>
    </xf>
    <xf numFmtId="0" fontId="188" fillId="36" borderId="47" xfId="70" applyFont="1" applyFill="1" applyBorder="1" applyAlignment="1" applyProtection="1">
      <alignment horizontal="center" vertical="center"/>
      <protection/>
    </xf>
    <xf numFmtId="0" fontId="188" fillId="36" borderId="33" xfId="7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52">
      <selection activeCell="H54" sqref="H54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5">
        <f>+'Cash-Flow-2018-Leva'!P5</f>
        <v>2018</v>
      </c>
      <c r="M2" s="575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9">
        <f>+'Cash-Flow-2018-Leva'!P5</f>
        <v>2018</v>
      </c>
      <c r="I7" s="579"/>
      <c r="J7" s="67" t="s">
        <v>328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329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330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331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332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333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334</v>
      </c>
      <c r="E15" s="548">
        <f>+H7-1</f>
        <v>2017</v>
      </c>
      <c r="F15" s="481" t="s">
        <v>335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336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337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338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279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278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288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312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313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314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310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317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318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315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309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311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1">
        <f>+'Cash-Flow-2018-Leva'!P5</f>
        <v>2018</v>
      </c>
      <c r="G34" s="571"/>
      <c r="H34" s="571"/>
      <c r="I34" s="571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339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340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341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342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343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344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273</v>
      </c>
      <c r="E41" s="67"/>
      <c r="F41" s="67"/>
      <c r="G41" s="576">
        <f>+H7</f>
        <v>2018</v>
      </c>
      <c r="H41" s="576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345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346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347</v>
      </c>
      <c r="E44" s="67"/>
      <c r="F44" s="67"/>
      <c r="G44" s="67"/>
      <c r="H44" s="67"/>
      <c r="I44" s="67"/>
      <c r="J44" s="67"/>
      <c r="L44" s="578">
        <f>+F34-1</f>
        <v>2017</v>
      </c>
      <c r="M44" s="578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276</v>
      </c>
      <c r="E45" s="67"/>
      <c r="F45" s="552"/>
      <c r="G45" s="552"/>
      <c r="H45" s="552"/>
      <c r="I45" s="553"/>
      <c r="J45" s="554">
        <f>+H7-1</f>
        <v>2017</v>
      </c>
      <c r="K45" s="67" t="s">
        <v>274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275</v>
      </c>
      <c r="E46" s="67"/>
      <c r="F46" s="552"/>
      <c r="G46" s="577">
        <f>+H7-1</f>
        <v>2017</v>
      </c>
      <c r="H46" s="577"/>
      <c r="I46" s="555" t="s">
        <v>348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349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350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351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352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319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316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322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320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324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321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323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325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277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354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2">
        <f>+'Cash-Flow-2018-Leva'!P5</f>
        <v>2018</v>
      </c>
      <c r="G69" s="572"/>
      <c r="H69" s="572"/>
      <c r="I69" s="572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4">
        <f>+'Cash-Flow-2018-Leva'!P5</f>
        <v>2018</v>
      </c>
      <c r="H70" s="574"/>
      <c r="I70" s="574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3">
        <f>+'Cash-Flow-2018-Leva'!P5</f>
        <v>2018</v>
      </c>
      <c r="G71" s="573"/>
      <c r="H71" s="573"/>
      <c r="I71" s="573"/>
      <c r="J71" s="556" t="s">
        <v>355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356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357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358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359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360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361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362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363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364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3">
        <f>+'Cash-Flow-2018-Leva'!P5</f>
        <v>2018</v>
      </c>
      <c r="F87" s="573"/>
      <c r="G87" s="573"/>
      <c r="H87" s="573"/>
      <c r="I87" s="557" t="s">
        <v>365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0">
        <f>+'Cash-Flow-2018-Leva'!P5</f>
        <v>2018</v>
      </c>
      <c r="I89" s="570"/>
      <c r="J89" s="570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366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367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368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369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370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371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7:I7"/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6" sqref="M5:M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 t="s">
        <v>374</v>
      </c>
      <c r="C1" s="663"/>
      <c r="D1" s="663"/>
      <c r="E1" s="663"/>
      <c r="F1" s="664"/>
      <c r="G1" s="450" t="s">
        <v>253</v>
      </c>
      <c r="H1" s="443"/>
      <c r="I1" s="654">
        <v>776299</v>
      </c>
      <c r="J1" s="655"/>
      <c r="K1" s="444"/>
      <c r="L1" s="452" t="s">
        <v>254</v>
      </c>
      <c r="M1" s="448">
        <v>7311</v>
      </c>
      <c r="N1" s="444"/>
      <c r="O1" s="452" t="s">
        <v>246</v>
      </c>
      <c r="P1" s="471"/>
      <c r="Q1" s="445"/>
      <c r="R1" s="360" t="s">
        <v>286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375</v>
      </c>
      <c r="C3" s="670"/>
      <c r="D3" s="670"/>
      <c r="E3" s="670"/>
      <c r="F3" s="671"/>
      <c r="G3" s="451" t="s">
        <v>245</v>
      </c>
      <c r="H3" s="659"/>
      <c r="I3" s="660"/>
      <c r="J3" s="660"/>
      <c r="K3" s="661"/>
      <c r="L3" s="28" t="s">
        <v>255</v>
      </c>
      <c r="M3" s="656"/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 t="str">
        <f>+B1</f>
        <v>ОБЩИНА  ИХТИМАН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297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30.09.2018 г.</v>
      </c>
      <c r="G11" s="413">
        <f>+P5-1</f>
        <v>2017</v>
      </c>
      <c r="H11" s="15"/>
      <c r="I11" s="118" t="str">
        <f>+O8</f>
        <v>30.09.2018 г.</v>
      </c>
      <c r="J11" s="414">
        <f>+P5-1</f>
        <v>2017</v>
      </c>
      <c r="K11" s="16"/>
      <c r="L11" s="116" t="str">
        <f>+O8</f>
        <v>30.09.2018 г.</v>
      </c>
      <c r="M11" s="415">
        <f>+P5-1</f>
        <v>2017</v>
      </c>
      <c r="N11" s="16"/>
      <c r="O11" s="370" t="str">
        <f>+O8</f>
        <v>30.09.2018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289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290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>
        <v>863690</v>
      </c>
      <c r="G15" s="245">
        <v>880499</v>
      </c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863690</v>
      </c>
      <c r="P15" s="395">
        <f t="shared" si="0"/>
        <v>880499</v>
      </c>
      <c r="Q15" s="31"/>
      <c r="R15" s="597" t="s">
        <v>155</v>
      </c>
      <c r="S15" s="598"/>
      <c r="T15" s="599"/>
      <c r="U15" s="34"/>
      <c r="V15" s="2"/>
      <c r="W15" s="120" t="s">
        <v>291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305</v>
      </c>
      <c r="C16" s="168"/>
      <c r="D16" s="169"/>
      <c r="E16" s="15"/>
      <c r="F16" s="250">
        <v>920898</v>
      </c>
      <c r="G16" s="249">
        <v>1146118</v>
      </c>
      <c r="H16" s="15"/>
      <c r="I16" s="250"/>
      <c r="J16" s="249"/>
      <c r="K16" s="243"/>
      <c r="L16" s="250"/>
      <c r="M16" s="249"/>
      <c r="N16" s="243"/>
      <c r="O16" s="378">
        <f t="shared" si="0"/>
        <v>920898</v>
      </c>
      <c r="P16" s="401">
        <f t="shared" si="0"/>
        <v>1146118</v>
      </c>
      <c r="Q16" s="31"/>
      <c r="R16" s="633" t="s">
        <v>308</v>
      </c>
      <c r="S16" s="634"/>
      <c r="T16" s="635"/>
      <c r="U16" s="34"/>
      <c r="V16" s="2"/>
      <c r="W16" s="233" t="s">
        <v>292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326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301</v>
      </c>
      <c r="S17" s="637"/>
      <c r="T17" s="638"/>
      <c r="U17" s="34"/>
      <c r="V17" s="2"/>
      <c r="W17" s="231" t="s">
        <v>293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77597</v>
      </c>
      <c r="G18" s="245">
        <v>78620</v>
      </c>
      <c r="H18" s="15"/>
      <c r="I18" s="246"/>
      <c r="J18" s="245"/>
      <c r="K18" s="243"/>
      <c r="L18" s="246"/>
      <c r="M18" s="245"/>
      <c r="N18" s="243"/>
      <c r="O18" s="382">
        <f t="shared" si="0"/>
        <v>77597</v>
      </c>
      <c r="P18" s="395">
        <f t="shared" si="0"/>
        <v>78620</v>
      </c>
      <c r="Q18" s="31"/>
      <c r="R18" s="597" t="s">
        <v>156</v>
      </c>
      <c r="S18" s="598"/>
      <c r="T18" s="599"/>
      <c r="U18" s="34"/>
      <c r="V18" s="2"/>
      <c r="W18" s="120" t="s">
        <v>294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944330</v>
      </c>
      <c r="G19" s="247">
        <v>1327754</v>
      </c>
      <c r="H19" s="15"/>
      <c r="I19" s="248"/>
      <c r="J19" s="247"/>
      <c r="K19" s="243"/>
      <c r="L19" s="248"/>
      <c r="M19" s="247"/>
      <c r="N19" s="243"/>
      <c r="O19" s="377">
        <f t="shared" si="0"/>
        <v>944330</v>
      </c>
      <c r="P19" s="429">
        <f t="shared" si="0"/>
        <v>1327754</v>
      </c>
      <c r="Q19" s="31"/>
      <c r="R19" s="583" t="s">
        <v>157</v>
      </c>
      <c r="S19" s="584"/>
      <c r="T19" s="585"/>
      <c r="U19" s="34"/>
      <c r="V19" s="2"/>
      <c r="W19" s="233" t="s">
        <v>295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187556</v>
      </c>
      <c r="G20" s="247">
        <v>299358</v>
      </c>
      <c r="H20" s="15"/>
      <c r="I20" s="248"/>
      <c r="J20" s="247"/>
      <c r="K20" s="243"/>
      <c r="L20" s="248"/>
      <c r="M20" s="247"/>
      <c r="N20" s="243"/>
      <c r="O20" s="377">
        <f t="shared" si="0"/>
        <v>187556</v>
      </c>
      <c r="P20" s="429">
        <f t="shared" si="0"/>
        <v>299358</v>
      </c>
      <c r="Q20" s="31"/>
      <c r="R20" s="583" t="s">
        <v>158</v>
      </c>
      <c r="S20" s="584"/>
      <c r="T20" s="585"/>
      <c r="U20" s="34"/>
      <c r="V20" s="2"/>
      <c r="W20" s="231" t="s">
        <v>296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55939</v>
      </c>
      <c r="G21" s="247">
        <v>64024</v>
      </c>
      <c r="H21" s="15"/>
      <c r="I21" s="248"/>
      <c r="J21" s="247"/>
      <c r="K21" s="243"/>
      <c r="L21" s="248"/>
      <c r="M21" s="247"/>
      <c r="N21" s="243"/>
      <c r="O21" s="377">
        <f t="shared" si="0"/>
        <v>55939</v>
      </c>
      <c r="P21" s="429">
        <f t="shared" si="0"/>
        <v>64024</v>
      </c>
      <c r="Q21" s="31"/>
      <c r="R21" s="583" t="s">
        <v>159</v>
      </c>
      <c r="S21" s="584"/>
      <c r="T21" s="585"/>
      <c r="U21" s="34"/>
      <c r="V21" s="2"/>
      <c r="W21" s="120" t="s">
        <v>297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86</v>
      </c>
      <c r="G22" s="247">
        <v>117</v>
      </c>
      <c r="H22" s="15"/>
      <c r="I22" s="248">
        <v>7</v>
      </c>
      <c r="J22" s="247">
        <v>3</v>
      </c>
      <c r="K22" s="243"/>
      <c r="L22" s="248"/>
      <c r="M22" s="247">
        <v>0</v>
      </c>
      <c r="N22" s="243"/>
      <c r="O22" s="377">
        <f t="shared" si="0"/>
        <v>93</v>
      </c>
      <c r="P22" s="429">
        <f t="shared" si="0"/>
        <v>120</v>
      </c>
      <c r="Q22" s="31"/>
      <c r="R22" s="583" t="s">
        <v>160</v>
      </c>
      <c r="S22" s="584"/>
      <c r="T22" s="585"/>
      <c r="U22" s="34"/>
      <c r="V22" s="2"/>
      <c r="W22" s="233" t="s">
        <v>298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>
        <v>624</v>
      </c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624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299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2137</v>
      </c>
      <c r="G24" s="249">
        <v>976</v>
      </c>
      <c r="H24" s="15"/>
      <c r="I24" s="250"/>
      <c r="J24" s="249"/>
      <c r="K24" s="243"/>
      <c r="L24" s="250"/>
      <c r="M24" s="249"/>
      <c r="N24" s="243"/>
      <c r="O24" s="378">
        <f t="shared" si="0"/>
        <v>2137</v>
      </c>
      <c r="P24" s="401">
        <f t="shared" si="0"/>
        <v>976</v>
      </c>
      <c r="Q24" s="31"/>
      <c r="R24" s="618" t="s">
        <v>302</v>
      </c>
      <c r="S24" s="619"/>
      <c r="T24" s="620"/>
      <c r="U24" s="34"/>
      <c r="V24" s="2"/>
      <c r="W24" s="120" t="s">
        <v>300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3052857</v>
      </c>
      <c r="G25" s="251">
        <f>+ROUND(+SUM(G15,G16,G18,G19,G20,G21,G22,G23,G24),0)</f>
        <v>3797466</v>
      </c>
      <c r="H25" s="15"/>
      <c r="I25" s="252">
        <f>+ROUND(+SUM(I15,I16,I18,I19,I20,I21,I22,I23,I24),0)</f>
        <v>7</v>
      </c>
      <c r="J25" s="251">
        <f>+ROUND(+SUM(J15,J16,J18,J19,J20,J21,J22,J23,J24),0)</f>
        <v>3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3052864</v>
      </c>
      <c r="P25" s="380">
        <f>+ROUND(+SUM(P15,P16,P18,P19,P20,P21,P22,P23,P24),0)</f>
        <v>3797469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>
        <v>112574</v>
      </c>
      <c r="G27" s="245">
        <v>139467</v>
      </c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112574</v>
      </c>
      <c r="P27" s="395">
        <f t="shared" si="1"/>
        <v>139467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42955</v>
      </c>
      <c r="G28" s="247">
        <v>80133</v>
      </c>
      <c r="H28" s="15"/>
      <c r="I28" s="248"/>
      <c r="J28" s="247"/>
      <c r="K28" s="243"/>
      <c r="L28" s="248"/>
      <c r="M28" s="247"/>
      <c r="N28" s="243"/>
      <c r="O28" s="377">
        <f t="shared" si="1"/>
        <v>42955</v>
      </c>
      <c r="P28" s="429">
        <f t="shared" si="1"/>
        <v>80133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263</v>
      </c>
      <c r="C30" s="161"/>
      <c r="D30" s="162"/>
      <c r="E30" s="15"/>
      <c r="F30" s="252">
        <f>+ROUND(+SUM(F27:F29),0)</f>
        <v>155529</v>
      </c>
      <c r="G30" s="251">
        <f>+ROUND(+SUM(G27:G29),0)</f>
        <v>219600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155529</v>
      </c>
      <c r="P30" s="380">
        <f>+ROUND(+SUM(P27:P29),0)</f>
        <v>219600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264</v>
      </c>
      <c r="C37" s="161"/>
      <c r="D37" s="162"/>
      <c r="E37" s="15"/>
      <c r="F37" s="264">
        <v>-216049</v>
      </c>
      <c r="G37" s="263">
        <v>-247844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-216049</v>
      </c>
      <c r="P37" s="380">
        <f t="shared" si="2"/>
        <v>-247844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-180401</v>
      </c>
      <c r="G38" s="265">
        <v>-216118</v>
      </c>
      <c r="H38" s="15"/>
      <c r="I38" s="266"/>
      <c r="J38" s="265"/>
      <c r="K38" s="243"/>
      <c r="L38" s="266"/>
      <c r="M38" s="265"/>
      <c r="N38" s="243"/>
      <c r="O38" s="392">
        <f t="shared" si="2"/>
        <v>-180401</v>
      </c>
      <c r="P38" s="430">
        <f t="shared" si="2"/>
        <v>-216118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-35648</v>
      </c>
      <c r="G39" s="267">
        <v>-31703</v>
      </c>
      <c r="H39" s="15"/>
      <c r="I39" s="268"/>
      <c r="J39" s="267"/>
      <c r="K39" s="243"/>
      <c r="L39" s="268"/>
      <c r="M39" s="267"/>
      <c r="N39" s="243"/>
      <c r="O39" s="393">
        <f t="shared" si="2"/>
        <v>-35648</v>
      </c>
      <c r="P39" s="431">
        <f t="shared" si="2"/>
        <v>-31703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4051</v>
      </c>
      <c r="G42" s="263">
        <v>127</v>
      </c>
      <c r="H42" s="15"/>
      <c r="I42" s="264"/>
      <c r="J42" s="263"/>
      <c r="K42" s="243"/>
      <c r="L42" s="264"/>
      <c r="M42" s="263"/>
      <c r="N42" s="243"/>
      <c r="O42" s="379">
        <f>+ROUND(+F42+I42+L42,0)</f>
        <v>4051</v>
      </c>
      <c r="P42" s="380">
        <f>+ROUND(+G42+J42+M42,0)</f>
        <v>127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259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>
        <v>13840</v>
      </c>
      <c r="G47" s="249">
        <v>16860</v>
      </c>
      <c r="H47" s="15"/>
      <c r="I47" s="250"/>
      <c r="J47" s="249"/>
      <c r="K47" s="243"/>
      <c r="L47" s="250"/>
      <c r="M47" s="249"/>
      <c r="N47" s="243"/>
      <c r="O47" s="378">
        <f t="shared" si="3"/>
        <v>13840</v>
      </c>
      <c r="P47" s="401">
        <f t="shared" si="3"/>
        <v>16860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13840</v>
      </c>
      <c r="G48" s="251">
        <f>+ROUND(+SUM(G44:G47),0)</f>
        <v>16860</v>
      </c>
      <c r="H48" s="15"/>
      <c r="I48" s="252">
        <f>+ROUND(+SUM(I44:I47),0)</f>
        <v>0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13840</v>
      </c>
      <c r="P48" s="380">
        <f>+ROUND(+SUM(P44:P47),0)</f>
        <v>16860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3010228</v>
      </c>
      <c r="G50" s="273">
        <f>+ROUND(G25+G30+G37+G42+G48,0)</f>
        <v>3786209</v>
      </c>
      <c r="H50" s="15"/>
      <c r="I50" s="274">
        <f>+ROUND(I25+I30+I37+I42+I48,0)</f>
        <v>7</v>
      </c>
      <c r="J50" s="273">
        <f>+ROUND(J25+J30+J37+J42+J48,0)</f>
        <v>3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3010235</v>
      </c>
      <c r="P50" s="397">
        <f>+ROUND(P25+P30+P37+P42+P48,0)</f>
        <v>3786212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3218892</v>
      </c>
      <c r="G53" s="275">
        <v>4168510</v>
      </c>
      <c r="H53" s="15"/>
      <c r="I53" s="276">
        <v>192504</v>
      </c>
      <c r="J53" s="275">
        <v>86096</v>
      </c>
      <c r="K53" s="243"/>
      <c r="L53" s="276"/>
      <c r="M53" s="275"/>
      <c r="N53" s="243"/>
      <c r="O53" s="383">
        <f aca="true" t="shared" si="4" ref="O53:P57">+ROUND(+F53+I53+L53,0)</f>
        <v>3411396</v>
      </c>
      <c r="P53" s="376">
        <f t="shared" si="4"/>
        <v>4254606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33995</v>
      </c>
      <c r="G54" s="249">
        <v>40559</v>
      </c>
      <c r="H54" s="15"/>
      <c r="I54" s="250"/>
      <c r="J54" s="249">
        <v>637</v>
      </c>
      <c r="K54" s="243"/>
      <c r="L54" s="250"/>
      <c r="M54" s="249"/>
      <c r="N54" s="243"/>
      <c r="O54" s="378">
        <f t="shared" si="4"/>
        <v>33995</v>
      </c>
      <c r="P54" s="401">
        <f t="shared" si="4"/>
        <v>41196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17651</v>
      </c>
      <c r="G55" s="249">
        <v>19896</v>
      </c>
      <c r="H55" s="15"/>
      <c r="I55" s="250"/>
      <c r="J55" s="249">
        <v>808</v>
      </c>
      <c r="K55" s="243"/>
      <c r="L55" s="250"/>
      <c r="M55" s="249"/>
      <c r="N55" s="243"/>
      <c r="O55" s="378">
        <f t="shared" si="4"/>
        <v>17651</v>
      </c>
      <c r="P55" s="401">
        <f t="shared" si="4"/>
        <v>20704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4444678</v>
      </c>
      <c r="G56" s="249">
        <v>5281667</v>
      </c>
      <c r="H56" s="15"/>
      <c r="I56" s="250">
        <v>157295</v>
      </c>
      <c r="J56" s="249">
        <v>293240</v>
      </c>
      <c r="K56" s="243"/>
      <c r="L56" s="250"/>
      <c r="M56" s="249"/>
      <c r="N56" s="243"/>
      <c r="O56" s="378">
        <f t="shared" si="4"/>
        <v>4601973</v>
      </c>
      <c r="P56" s="401">
        <f t="shared" si="4"/>
        <v>5574907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874577</v>
      </c>
      <c r="G57" s="249">
        <v>1047944</v>
      </c>
      <c r="H57" s="15"/>
      <c r="I57" s="250">
        <v>32543</v>
      </c>
      <c r="J57" s="249">
        <v>58506</v>
      </c>
      <c r="K57" s="243"/>
      <c r="L57" s="250"/>
      <c r="M57" s="249"/>
      <c r="N57" s="243"/>
      <c r="O57" s="378">
        <f t="shared" si="4"/>
        <v>907120</v>
      </c>
      <c r="P57" s="401">
        <f t="shared" si="4"/>
        <v>1106450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8589793</v>
      </c>
      <c r="G58" s="277">
        <f>+ROUND(+SUM(G53:G57),0)</f>
        <v>10558576</v>
      </c>
      <c r="H58" s="15"/>
      <c r="I58" s="278">
        <f>+ROUND(+SUM(I53:I57),0)</f>
        <v>382342</v>
      </c>
      <c r="J58" s="277">
        <f>+ROUND(+SUM(J53:J57),0)</f>
        <v>439287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8972135</v>
      </c>
      <c r="P58" s="399">
        <f>+ROUND(+SUM(P53:P57),0)</f>
        <v>10997863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>
        <v>39700</v>
      </c>
      <c r="G60" s="275">
        <v>5000</v>
      </c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39700</v>
      </c>
      <c r="P60" s="376">
        <f t="shared" si="5"/>
        <v>5000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1023576</v>
      </c>
      <c r="G61" s="249">
        <v>1080883</v>
      </c>
      <c r="H61" s="15"/>
      <c r="I61" s="250">
        <v>361639</v>
      </c>
      <c r="J61" s="249"/>
      <c r="K61" s="243"/>
      <c r="L61" s="250"/>
      <c r="M61" s="249"/>
      <c r="N61" s="243"/>
      <c r="O61" s="378">
        <f t="shared" si="5"/>
        <v>1385215</v>
      </c>
      <c r="P61" s="401">
        <f t="shared" si="5"/>
        <v>1080883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>
        <v>58624</v>
      </c>
      <c r="H62" s="15"/>
      <c r="I62" s="250"/>
      <c r="J62" s="249"/>
      <c r="K62" s="243"/>
      <c r="L62" s="250"/>
      <c r="M62" s="249"/>
      <c r="N62" s="243"/>
      <c r="O62" s="378">
        <f t="shared" si="5"/>
        <v>0</v>
      </c>
      <c r="P62" s="401">
        <f t="shared" si="5"/>
        <v>58624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260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1063276</v>
      </c>
      <c r="G65" s="277">
        <f>+ROUND(+SUM(G60:G63),0)</f>
        <v>1144507</v>
      </c>
      <c r="H65" s="15"/>
      <c r="I65" s="278">
        <f>+ROUND(+SUM(I60:I63),0)</f>
        <v>361639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1424915</v>
      </c>
      <c r="P65" s="399">
        <f>+ROUND(+SUM(P60:P63),0)</f>
        <v>1144507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261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100839</v>
      </c>
      <c r="G71" s="275">
        <v>179802</v>
      </c>
      <c r="H71" s="15"/>
      <c r="I71" s="276"/>
      <c r="J71" s="275"/>
      <c r="K71" s="243"/>
      <c r="L71" s="276"/>
      <c r="M71" s="275"/>
      <c r="N71" s="243"/>
      <c r="O71" s="383">
        <f>+ROUND(+F71+I71+L71,0)</f>
        <v>100839</v>
      </c>
      <c r="P71" s="376">
        <f>+ROUND(+G71+J71+M71,0)</f>
        <v>179802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100839</v>
      </c>
      <c r="G73" s="277">
        <f>+ROUND(+SUM(G71:G72),0)</f>
        <v>179802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100839</v>
      </c>
      <c r="P73" s="399">
        <f>+ROUND(+SUM(P71:P72),0)</f>
        <v>179802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314138</v>
      </c>
      <c r="G75" s="275">
        <v>396714</v>
      </c>
      <c r="H75" s="15"/>
      <c r="I75" s="276">
        <v>1243</v>
      </c>
      <c r="J75" s="275">
        <v>10314</v>
      </c>
      <c r="K75" s="243"/>
      <c r="L75" s="276"/>
      <c r="M75" s="275"/>
      <c r="N75" s="243"/>
      <c r="O75" s="383">
        <f>+ROUND(+F75+I75+L75,0)</f>
        <v>315381</v>
      </c>
      <c r="P75" s="376">
        <f>+ROUND(+G75+J75+M75,0)</f>
        <v>407028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>
        <v>9000</v>
      </c>
      <c r="G76" s="249">
        <v>40000</v>
      </c>
      <c r="H76" s="15"/>
      <c r="I76" s="250"/>
      <c r="J76" s="249"/>
      <c r="K76" s="243"/>
      <c r="L76" s="250"/>
      <c r="M76" s="249"/>
      <c r="N76" s="243"/>
      <c r="O76" s="378">
        <f>+ROUND(+F76+I76+L76,0)</f>
        <v>9000</v>
      </c>
      <c r="P76" s="401">
        <f>+ROUND(+G76+J76+M76,0)</f>
        <v>40000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323138</v>
      </c>
      <c r="G77" s="277">
        <f>+ROUND(+SUM(G75:G76),0)</f>
        <v>436714</v>
      </c>
      <c r="H77" s="15"/>
      <c r="I77" s="278">
        <f>+ROUND(+SUM(I75:I76),0)</f>
        <v>1243</v>
      </c>
      <c r="J77" s="277">
        <f>+ROUND(+SUM(J75:J76),0)</f>
        <v>10314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324381</v>
      </c>
      <c r="P77" s="399">
        <f>+ROUND(+SUM(P75:P76),0)</f>
        <v>447028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266</v>
      </c>
      <c r="C79" s="199"/>
      <c r="D79" s="200"/>
      <c r="E79" s="15"/>
      <c r="F79" s="285">
        <f>+ROUND(F58+F65+F69+F73+F77,0)</f>
        <v>10077046</v>
      </c>
      <c r="G79" s="288">
        <f>+ROUND(G58+G65+G69+G73+G77,0)</f>
        <v>12319599</v>
      </c>
      <c r="H79" s="15"/>
      <c r="I79" s="285">
        <f>+ROUND(I58+I65+I69+I73+I77,0)</f>
        <v>745224</v>
      </c>
      <c r="J79" s="288">
        <f>+ROUND(J58+J65+J69+J73+J77,0)</f>
        <v>449601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10822270</v>
      </c>
      <c r="P79" s="409">
        <f>+ROUND(P58+P65+P69+P73+P77,0)</f>
        <v>12769200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265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6967603</v>
      </c>
      <c r="G81" s="245">
        <v>8926650</v>
      </c>
      <c r="H81" s="15"/>
      <c r="I81" s="246">
        <v>1080587</v>
      </c>
      <c r="J81" s="245">
        <v>421007</v>
      </c>
      <c r="K81" s="243"/>
      <c r="L81" s="246"/>
      <c r="M81" s="245"/>
      <c r="N81" s="243"/>
      <c r="O81" s="382">
        <f>+ROUND(+F81+I81+L81,0)</f>
        <v>8048190</v>
      </c>
      <c r="P81" s="395">
        <f>+ROUND(+G81+J81+M81,0)</f>
        <v>9347657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>
        <v>13172</v>
      </c>
      <c r="G82" s="249">
        <v>-24624</v>
      </c>
      <c r="H82" s="15"/>
      <c r="I82" s="250">
        <v>-13172</v>
      </c>
      <c r="J82" s="249">
        <v>24624</v>
      </c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267</v>
      </c>
      <c r="C83" s="158"/>
      <c r="D83" s="159"/>
      <c r="E83" s="15"/>
      <c r="F83" s="287">
        <f>+ROUND(F81+F82,0)</f>
        <v>6980775</v>
      </c>
      <c r="G83" s="286">
        <f>+ROUND(G81+G82,0)</f>
        <v>8902026</v>
      </c>
      <c r="H83" s="15"/>
      <c r="I83" s="287">
        <f>+ROUND(I81+I82,0)</f>
        <v>1067415</v>
      </c>
      <c r="J83" s="286">
        <f>+ROUND(J81+J82,0)</f>
        <v>445631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8048190</v>
      </c>
      <c r="P83" s="404">
        <f>+ROUND(P81+P82,0)</f>
        <v>9347657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268</v>
      </c>
      <c r="C85" s="154"/>
      <c r="D85" s="155"/>
      <c r="E85" s="15"/>
      <c r="F85" s="308">
        <f>+ROUND(F50,0)-ROUND(F79,0)+ROUND(F83,0)</f>
        <v>-86043</v>
      </c>
      <c r="G85" s="307">
        <f>+ROUND(G50,0)-ROUND(G79,0)+ROUND(G83,0)</f>
        <v>368636</v>
      </c>
      <c r="H85" s="15"/>
      <c r="I85" s="308">
        <f>+ROUND(I50,0)-ROUND(I79,0)+ROUND(I83,0)</f>
        <v>322198</v>
      </c>
      <c r="J85" s="307">
        <f>+ROUND(J50,0)-ROUND(J79,0)+ROUND(J83,0)</f>
        <v>-3967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236155</v>
      </c>
      <c r="P85" s="406">
        <f>+ROUND(P50,0)-ROUND(P79,0)+ROUND(P83,0)</f>
        <v>364669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86043</v>
      </c>
      <c r="G86" s="309">
        <f>+ROUND(G103,0)+ROUND(G122,0)+ROUND(G129,0)-ROUND(G134,0)</f>
        <v>-368636</v>
      </c>
      <c r="H86" s="15"/>
      <c r="I86" s="310">
        <f>+ROUND(I103,0)+ROUND(I122,0)+ROUND(I129,0)-ROUND(I134,0)</f>
        <v>-322198</v>
      </c>
      <c r="J86" s="309">
        <f>+ROUND(J103,0)+ROUND(J122,0)+ROUND(J129,0)-ROUND(J134,0)</f>
        <v>3967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-236155</v>
      </c>
      <c r="P86" s="408">
        <f>+ROUND(P103,0)+ROUND(P122,0)+ROUND(P129,0)-ROUND(P134,0)</f>
        <v>-364669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262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269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287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270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/>
      <c r="G100" s="249"/>
      <c r="H100" s="15"/>
      <c r="I100" s="250"/>
      <c r="J100" s="249"/>
      <c r="K100" s="243"/>
      <c r="L100" s="250"/>
      <c r="M100" s="249"/>
      <c r="N100" s="243"/>
      <c r="O100" s="378">
        <f>+ROUND(+F100+I100+L100,0)</f>
        <v>0</v>
      </c>
      <c r="P100" s="401">
        <f>+ROUND(+G100+J100+M100,0)</f>
        <v>0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0</v>
      </c>
      <c r="G101" s="251">
        <f>+ROUND(+SUM(G99:G100),0)</f>
        <v>0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0</v>
      </c>
      <c r="P101" s="380">
        <f>+ROUND(+SUM(P99:P100),0)</f>
        <v>0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0</v>
      </c>
      <c r="G103" s="273">
        <f>+ROUND(G91+G97+G101,0)</f>
        <v>0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0</v>
      </c>
      <c r="P103" s="397">
        <f>+ROUND(P91+P97+P101,0)</f>
        <v>0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>
        <v>4415</v>
      </c>
      <c r="M118" s="275">
        <v>-35137</v>
      </c>
      <c r="N118" s="243"/>
      <c r="O118" s="383">
        <f>+ROUND(+F118+I118+L118,0)</f>
        <v>4415</v>
      </c>
      <c r="P118" s="376">
        <f>+ROUND(+G118+J118+M118,0)</f>
        <v>-35137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4415</v>
      </c>
      <c r="M120" s="277">
        <f>+ROUND(+SUM(M118:M119),0)</f>
        <v>-35137</v>
      </c>
      <c r="N120" s="243"/>
      <c r="O120" s="398">
        <f>+ROUND(+SUM(O118:O119),0)</f>
        <v>4415</v>
      </c>
      <c r="P120" s="399">
        <f>+ROUND(+SUM(P118:P119),0)</f>
        <v>-35137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4415</v>
      </c>
      <c r="M122" s="288">
        <f>+ROUND(M108+M112+M116+M120,0)</f>
        <v>-35137</v>
      </c>
      <c r="N122" s="243"/>
      <c r="O122" s="402">
        <f>+ROUND(O108+O112+O116+O120,0)</f>
        <v>4415</v>
      </c>
      <c r="P122" s="409">
        <f>+ROUND(P108+P112+P116+P120,0)</f>
        <v>-35137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>
        <v>-14226</v>
      </c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-14226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-42794</v>
      </c>
      <c r="G125" s="249">
        <v>14226</v>
      </c>
      <c r="H125" s="15"/>
      <c r="I125" s="250">
        <v>42794</v>
      </c>
      <c r="J125" s="249"/>
      <c r="K125" s="243"/>
      <c r="L125" s="250"/>
      <c r="M125" s="249"/>
      <c r="N125" s="243"/>
      <c r="O125" s="378">
        <f t="shared" si="7"/>
        <v>0</v>
      </c>
      <c r="P125" s="401">
        <f t="shared" si="7"/>
        <v>14226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/>
      <c r="G126" s="249"/>
      <c r="H126" s="15"/>
      <c r="I126" s="250"/>
      <c r="J126" s="249"/>
      <c r="K126" s="243"/>
      <c r="L126" s="250"/>
      <c r="M126" s="249"/>
      <c r="N126" s="243"/>
      <c r="O126" s="378">
        <f t="shared" si="7"/>
        <v>0</v>
      </c>
      <c r="P126" s="401">
        <f t="shared" si="7"/>
        <v>0</v>
      </c>
      <c r="Q126" s="31"/>
      <c r="R126" s="612" t="s">
        <v>327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303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304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-42794</v>
      </c>
      <c r="G129" s="286">
        <f>+ROUND(+SUM(G124,G125,G126,G128),0)</f>
        <v>14226</v>
      </c>
      <c r="H129" s="15"/>
      <c r="I129" s="287">
        <f>+ROUND(+SUM(I124,I125,I126,I128),0)</f>
        <v>42794</v>
      </c>
      <c r="J129" s="286">
        <f>+ROUND(+SUM(J124,J125,J126,J128),0)</f>
        <v>-14226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0</v>
      </c>
      <c r="P129" s="404">
        <f>+ROUND(+SUM(P124,P125,P126,P128),0)</f>
        <v>0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1483108</v>
      </c>
      <c r="G131" s="245">
        <v>1100246</v>
      </c>
      <c r="H131" s="15"/>
      <c r="I131" s="246">
        <v>49972</v>
      </c>
      <c r="J131" s="245">
        <v>68165</v>
      </c>
      <c r="K131" s="243"/>
      <c r="L131" s="246">
        <v>761482</v>
      </c>
      <c r="M131" s="245">
        <v>796619</v>
      </c>
      <c r="N131" s="243"/>
      <c r="O131" s="382">
        <f aca="true" t="shared" si="8" ref="O131:P133">+ROUND(+F131+I131+L131,0)</f>
        <v>2294562</v>
      </c>
      <c r="P131" s="395">
        <f t="shared" si="8"/>
        <v>1965030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/>
      <c r="G132" s="249"/>
      <c r="H132" s="15"/>
      <c r="I132" s="250"/>
      <c r="J132" s="249"/>
      <c r="K132" s="243"/>
      <c r="L132" s="250"/>
      <c r="M132" s="249"/>
      <c r="N132" s="243"/>
      <c r="O132" s="378">
        <f t="shared" si="8"/>
        <v>0</v>
      </c>
      <c r="P132" s="401">
        <f t="shared" si="8"/>
        <v>0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1354271</v>
      </c>
      <c r="G133" s="249">
        <v>1483108</v>
      </c>
      <c r="H133" s="15"/>
      <c r="I133" s="250">
        <v>414964</v>
      </c>
      <c r="J133" s="249">
        <v>49972</v>
      </c>
      <c r="K133" s="243"/>
      <c r="L133" s="250">
        <v>765897</v>
      </c>
      <c r="M133" s="249">
        <v>761482</v>
      </c>
      <c r="N133" s="243"/>
      <c r="O133" s="378">
        <f t="shared" si="8"/>
        <v>2535132</v>
      </c>
      <c r="P133" s="401">
        <f t="shared" si="8"/>
        <v>2294562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-128837</v>
      </c>
      <c r="G134" s="291">
        <f>+ROUND(+G133-G131-G132,0)</f>
        <v>382862</v>
      </c>
      <c r="H134" s="15"/>
      <c r="I134" s="292">
        <f>+ROUND(+I133-I131-I132,0)</f>
        <v>364992</v>
      </c>
      <c r="J134" s="291">
        <f>+ROUND(+J133-J131-J132,0)</f>
        <v>-18193</v>
      </c>
      <c r="K134" s="243"/>
      <c r="L134" s="292">
        <f>+ROUND(+L133-L131-L132,0)</f>
        <v>4415</v>
      </c>
      <c r="M134" s="291">
        <f>+ROUND(+M133-M131-M132,0)</f>
        <v>-35137</v>
      </c>
      <c r="N134" s="243"/>
      <c r="O134" s="411">
        <f>+ROUND(+O133-O131-O132,0)</f>
        <v>240570</v>
      </c>
      <c r="P134" s="412">
        <f>+ROUND(+P133-P131-P132,0)</f>
        <v>329532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15102018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 t="s">
        <v>372</v>
      </c>
      <c r="G143" s="666"/>
      <c r="H143" s="666"/>
      <c r="I143" s="667"/>
      <c r="J143" s="362"/>
      <c r="K143" s="16"/>
      <c r="L143" s="362" t="s">
        <v>241</v>
      </c>
      <c r="M143" s="665" t="s">
        <v>373</v>
      </c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282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283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284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285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41 K113:L117 K150:L150 K30:L36 K144:L144 K97:L111 K134:L134 K130:L130 K25 K62:L63 K146:L147 K145 N146:O147 N145 K65:L83 K64 K131 K133 K119:L126 K118 K43:L60 K42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4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135" sqref="R13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 t="str">
        <f>+'Cash-Flow-2018-Leva'!B1:F1</f>
        <v>ОБЩИНА  ИХТИМАН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776299</v>
      </c>
      <c r="J1" s="689"/>
      <c r="K1" s="456"/>
      <c r="L1" s="457" t="s">
        <v>254</v>
      </c>
      <c r="M1" s="458">
        <f>+'Cash-Flow-2018-Leva'!M1</f>
        <v>7311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ГР.  ИХТИМАН, УЛ. ЦАР ОСВОБОДИТЕЛ №123</v>
      </c>
      <c r="C3" s="696"/>
      <c r="D3" s="696"/>
      <c r="E3" s="696"/>
      <c r="F3" s="697"/>
      <c r="G3" s="462" t="s">
        <v>245</v>
      </c>
      <c r="H3" s="698">
        <f>+'Cash-Flow-2018-Leva'!H3</f>
        <v>0</v>
      </c>
      <c r="I3" s="699"/>
      <c r="J3" s="699"/>
      <c r="K3" s="700"/>
      <c r="L3" s="51" t="s">
        <v>255</v>
      </c>
      <c r="M3" s="701">
        <f>+'Cash-Flow-2018-Leva'!M3:P3</f>
        <v>0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 t="str">
        <f>+B1</f>
        <v>ОБЩИНА  ИХТИМАН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30.09.2018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30.09.2018 г.</v>
      </c>
      <c r="G11" s="413">
        <f>+'Cash-Flow-2018-Leva'!G11</f>
        <v>2017</v>
      </c>
      <c r="H11" s="5"/>
      <c r="I11" s="118" t="str">
        <f>+O8</f>
        <v>30.09.2018 г.</v>
      </c>
      <c r="J11" s="414">
        <f>+'Cash-Flow-2018-Leva'!J11</f>
        <v>2017</v>
      </c>
      <c r="K11" s="5"/>
      <c r="L11" s="116" t="str">
        <f>+O8</f>
        <v>30.09.2018 г.</v>
      </c>
      <c r="M11" s="415">
        <f>+'Cash-Flow-2018-Leva'!M11</f>
        <v>2017</v>
      </c>
      <c r="N11" s="482"/>
      <c r="O11" s="370" t="str">
        <f>+O8</f>
        <v>30.09.2018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863.69</v>
      </c>
      <c r="G15" s="271">
        <f>+'Cash-Flow-2018-Leva'!G15/1000</f>
        <v>880.499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863.69</v>
      </c>
      <c r="P15" s="395">
        <f aca="true" t="shared" si="1" ref="P15:P24">+G15+J15+M15</f>
        <v>880.499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305</v>
      </c>
      <c r="C16" s="168"/>
      <c r="D16" s="169"/>
      <c r="E16" s="293"/>
      <c r="F16" s="284">
        <f>+'Cash-Flow-2018-Leva'!F16/1000</f>
        <v>920.898</v>
      </c>
      <c r="G16" s="283">
        <f>+'Cash-Flow-2018-Leva'!G16/1000</f>
        <v>1146.118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920.898</v>
      </c>
      <c r="P16" s="401">
        <f t="shared" si="1"/>
        <v>1146.118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326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77.597</v>
      </c>
      <c r="G18" s="271">
        <f>+'Cash-Flow-2018-Leva'!G18/1000</f>
        <v>78.62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77.597</v>
      </c>
      <c r="P18" s="395">
        <f t="shared" si="1"/>
        <v>78.62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944.33</v>
      </c>
      <c r="G19" s="294">
        <f>+'Cash-Flow-2018-Leva'!G19/1000</f>
        <v>1327.754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944.33</v>
      </c>
      <c r="P19" s="429">
        <f t="shared" si="1"/>
        <v>1327.754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187.556</v>
      </c>
      <c r="G20" s="294">
        <f>+'Cash-Flow-2018-Leva'!G20/1000</f>
        <v>299.358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187.556</v>
      </c>
      <c r="P20" s="429">
        <f t="shared" si="1"/>
        <v>299.358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55.939</v>
      </c>
      <c r="G21" s="294">
        <f>+'Cash-Flow-2018-Leva'!G21/1000</f>
        <v>64.024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55.939</v>
      </c>
      <c r="P21" s="429">
        <f t="shared" si="1"/>
        <v>64.024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0.086</v>
      </c>
      <c r="G22" s="294">
        <f>+'Cash-Flow-2018-Leva'!G22/1000</f>
        <v>0.117</v>
      </c>
      <c r="H22" s="293"/>
      <c r="I22" s="295">
        <f>+'Cash-Flow-2018-Leva'!I22/1000</f>
        <v>0.007</v>
      </c>
      <c r="J22" s="294">
        <f>+'Cash-Flow-2018-Leva'!J22/1000</f>
        <v>0.003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0.093</v>
      </c>
      <c r="P22" s="429">
        <f t="shared" si="1"/>
        <v>0.12000000000000001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0.624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0.624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2.137</v>
      </c>
      <c r="G24" s="283">
        <f>+'Cash-Flow-2018-Leva'!G24/1000</f>
        <v>0.976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2.137</v>
      </c>
      <c r="P24" s="401">
        <f t="shared" si="1"/>
        <v>0.976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3052.857</v>
      </c>
      <c r="G25" s="251">
        <f>+SUM(G15,G16,G18,G19,G20,G21,G22,G23,G24)</f>
        <v>3797.4660000000003</v>
      </c>
      <c r="H25" s="293"/>
      <c r="I25" s="252">
        <f>+SUM(I15,I16,I18,I19,I20,I21,I22,I23,I24)</f>
        <v>0.007</v>
      </c>
      <c r="J25" s="251">
        <f>+SUM(J15,J16,J18,J19,J20,J21,J22,J23,J24)</f>
        <v>0.003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3052.864</v>
      </c>
      <c r="P25" s="380">
        <f>+SUM(P15,P16,P18,P19,P20,P21,P22,P23,P24)</f>
        <v>3797.469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112.574</v>
      </c>
      <c r="G27" s="271">
        <f>+'Cash-Flow-2018-Leva'!G27/1000</f>
        <v>139.467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112.574</v>
      </c>
      <c r="P27" s="395">
        <f t="shared" si="2"/>
        <v>139.467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42.955</v>
      </c>
      <c r="G28" s="294">
        <f>+'Cash-Flow-2018-Leva'!G28/1000</f>
        <v>80.133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42.955</v>
      </c>
      <c r="P28" s="429">
        <f t="shared" si="2"/>
        <v>80.133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263</v>
      </c>
      <c r="C30" s="161"/>
      <c r="D30" s="162"/>
      <c r="E30" s="293"/>
      <c r="F30" s="252">
        <f>+SUM(F27:F29)</f>
        <v>155.529</v>
      </c>
      <c r="G30" s="251">
        <f>+SUM(G27:G29)</f>
        <v>219.60000000000002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155.529</v>
      </c>
      <c r="P30" s="380">
        <f>+SUM(P27:P29)</f>
        <v>219.60000000000002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264</v>
      </c>
      <c r="C37" s="161"/>
      <c r="D37" s="162"/>
      <c r="E37" s="293"/>
      <c r="F37" s="252">
        <f>+'Cash-Flow-2018-Leva'!F37/1000</f>
        <v>-216.049</v>
      </c>
      <c r="G37" s="251">
        <f>+'Cash-Flow-2018-Leva'!G37/1000</f>
        <v>-247.844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-216.049</v>
      </c>
      <c r="P37" s="380">
        <f t="shared" si="3"/>
        <v>-247.844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-180.401</v>
      </c>
      <c r="G38" s="296">
        <f>+'Cash-Flow-2018-Leva'!G38/1000</f>
        <v>-216.118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-180.401</v>
      </c>
      <c r="P38" s="430">
        <f t="shared" si="3"/>
        <v>-216.118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-35.648</v>
      </c>
      <c r="G39" s="298">
        <f>+'Cash-Flow-2018-Leva'!G39/1000</f>
        <v>-31.703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-35.648</v>
      </c>
      <c r="P39" s="431">
        <f t="shared" si="3"/>
        <v>-31.703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4.051</v>
      </c>
      <c r="G42" s="251">
        <f>+'Cash-Flow-2018-Leva'!G42/1000</f>
        <v>0.127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4.051</v>
      </c>
      <c r="P42" s="380">
        <f>+G42+J42+M42</f>
        <v>0.127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259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13.84</v>
      </c>
      <c r="G47" s="283">
        <f>+'Cash-Flow-2018-Leva'!G47/1000</f>
        <v>16.86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13.84</v>
      </c>
      <c r="P47" s="401">
        <f t="shared" si="4"/>
        <v>16.86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13.84</v>
      </c>
      <c r="G48" s="251">
        <f>+SUM(G44:G47)</f>
        <v>16.86</v>
      </c>
      <c r="H48" s="293"/>
      <c r="I48" s="252">
        <f>+SUM(I44:I47)</f>
        <v>0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13.84</v>
      </c>
      <c r="P48" s="380">
        <f>+SUM(P44:P47)</f>
        <v>16.86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3010.228</v>
      </c>
      <c r="G50" s="273">
        <f>+G25+G30+G37+G42+G48</f>
        <v>3786.2090000000003</v>
      </c>
      <c r="H50" s="293"/>
      <c r="I50" s="274">
        <f>+I25+I30+I37+I42+I48</f>
        <v>0.007</v>
      </c>
      <c r="J50" s="273">
        <f>+J25+J30+J37+J42+J48</f>
        <v>0.003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3010.235</v>
      </c>
      <c r="P50" s="397">
        <f>+P25+P30+P37+P42+P48</f>
        <v>3786.212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3218.892</v>
      </c>
      <c r="G53" s="244">
        <f>+'Cash-Flow-2018-Leva'!G53/1000</f>
        <v>4168.51</v>
      </c>
      <c r="H53" s="293"/>
      <c r="I53" s="254">
        <f>+'Cash-Flow-2018-Leva'!I53/1000</f>
        <v>192.504</v>
      </c>
      <c r="J53" s="244">
        <f>+'Cash-Flow-2018-Leva'!J53/1000</f>
        <v>86.096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3411.3959999999997</v>
      </c>
      <c r="P53" s="376">
        <f t="shared" si="5"/>
        <v>4254.606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33.995</v>
      </c>
      <c r="G54" s="283">
        <f>+'Cash-Flow-2018-Leva'!G54/1000</f>
        <v>40.559</v>
      </c>
      <c r="H54" s="293"/>
      <c r="I54" s="284">
        <f>+'Cash-Flow-2018-Leva'!I54/1000</f>
        <v>0</v>
      </c>
      <c r="J54" s="283">
        <f>+'Cash-Flow-2018-Leva'!J54/1000</f>
        <v>0.637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33.995</v>
      </c>
      <c r="P54" s="401">
        <f t="shared" si="5"/>
        <v>41.196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17.651</v>
      </c>
      <c r="G55" s="283">
        <f>+'Cash-Flow-2018-Leva'!G55/1000</f>
        <v>19.896</v>
      </c>
      <c r="H55" s="293"/>
      <c r="I55" s="284">
        <f>+'Cash-Flow-2018-Leva'!I55/1000</f>
        <v>0</v>
      </c>
      <c r="J55" s="283">
        <f>+'Cash-Flow-2018-Leva'!J55/1000</f>
        <v>0.808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17.651</v>
      </c>
      <c r="P55" s="401">
        <f t="shared" si="5"/>
        <v>20.704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4444.678</v>
      </c>
      <c r="G56" s="283">
        <f>+'Cash-Flow-2018-Leva'!G56/1000</f>
        <v>5281.667</v>
      </c>
      <c r="H56" s="293"/>
      <c r="I56" s="284">
        <f>+'Cash-Flow-2018-Leva'!I56/1000</f>
        <v>157.295</v>
      </c>
      <c r="J56" s="283">
        <f>+'Cash-Flow-2018-Leva'!J56/1000</f>
        <v>293.24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4601.973</v>
      </c>
      <c r="P56" s="401">
        <f t="shared" si="5"/>
        <v>5574.907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874.577</v>
      </c>
      <c r="G57" s="283">
        <f>+'Cash-Flow-2018-Leva'!G57/1000</f>
        <v>1047.944</v>
      </c>
      <c r="H57" s="293"/>
      <c r="I57" s="284">
        <f>+'Cash-Flow-2018-Leva'!I57/1000</f>
        <v>32.543</v>
      </c>
      <c r="J57" s="283">
        <f>+'Cash-Flow-2018-Leva'!J57/1000</f>
        <v>58.506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907.12</v>
      </c>
      <c r="P57" s="401">
        <f t="shared" si="5"/>
        <v>1106.45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8589.793</v>
      </c>
      <c r="G58" s="277">
        <f>+SUM(G53:G57)</f>
        <v>10558.576000000001</v>
      </c>
      <c r="H58" s="293"/>
      <c r="I58" s="278">
        <f>+SUM(I53:I57)</f>
        <v>382.342</v>
      </c>
      <c r="J58" s="277">
        <f>+SUM(J53:J57)</f>
        <v>439.28700000000003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8972.135</v>
      </c>
      <c r="P58" s="399">
        <f>+SUM(P53:P57)</f>
        <v>10997.863000000001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39.7</v>
      </c>
      <c r="G60" s="244">
        <f>+'Cash-Flow-2018-Leva'!G60/1000</f>
        <v>5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39.7</v>
      </c>
      <c r="P60" s="376">
        <f t="shared" si="6"/>
        <v>5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1023.576</v>
      </c>
      <c r="G61" s="283">
        <f>+'Cash-Flow-2018-Leva'!G61/1000</f>
        <v>1080.883</v>
      </c>
      <c r="H61" s="293"/>
      <c r="I61" s="284">
        <f>+'Cash-Flow-2018-Leva'!I61/1000</f>
        <v>361.639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1385.2150000000001</v>
      </c>
      <c r="P61" s="401">
        <f t="shared" si="6"/>
        <v>1080.883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</v>
      </c>
      <c r="G62" s="283">
        <f>+'Cash-Flow-2018-Leva'!G62/1000</f>
        <v>58.624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</v>
      </c>
      <c r="P62" s="401">
        <f t="shared" si="6"/>
        <v>58.624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260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1063.276</v>
      </c>
      <c r="G65" s="277">
        <f>+SUM(G60:G63)</f>
        <v>1144.507</v>
      </c>
      <c r="H65" s="293"/>
      <c r="I65" s="278">
        <f>+SUM(I60:I63)</f>
        <v>361.639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1424.9150000000002</v>
      </c>
      <c r="P65" s="399">
        <f>+SUM(P60:P63)</f>
        <v>1144.507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261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100.839</v>
      </c>
      <c r="G71" s="244">
        <f>+'Cash-Flow-2018-Leva'!G71/1000</f>
        <v>179.802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100.839</v>
      </c>
      <c r="P71" s="376">
        <f>+G71+J71+M71</f>
        <v>179.802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100.839</v>
      </c>
      <c r="G73" s="277">
        <f>+SUM(G71:G72)</f>
        <v>179.802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100.839</v>
      </c>
      <c r="P73" s="399">
        <f>+SUM(P71:P72)</f>
        <v>179.802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314.138</v>
      </c>
      <c r="G75" s="244">
        <f>+'Cash-Flow-2018-Leva'!G75/1000</f>
        <v>396.714</v>
      </c>
      <c r="H75" s="293"/>
      <c r="I75" s="254">
        <f>+'Cash-Flow-2018-Leva'!I75/1000</f>
        <v>1.243</v>
      </c>
      <c r="J75" s="244">
        <f>+'Cash-Flow-2018-Leva'!J75/1000</f>
        <v>10.314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315.381</v>
      </c>
      <c r="P75" s="376">
        <f>+G75+J75+M75</f>
        <v>407.028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9</v>
      </c>
      <c r="G76" s="283">
        <f>+'Cash-Flow-2018-Leva'!G76/1000</f>
        <v>40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9</v>
      </c>
      <c r="P76" s="401">
        <f>+G76+J76+M76</f>
        <v>40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323.138</v>
      </c>
      <c r="G77" s="277">
        <f>+SUM(G75:G76)</f>
        <v>436.714</v>
      </c>
      <c r="H77" s="293"/>
      <c r="I77" s="278">
        <f>+SUM(I75:I76)</f>
        <v>1.243</v>
      </c>
      <c r="J77" s="277">
        <f>+SUM(J75:J76)</f>
        <v>10.314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324.381</v>
      </c>
      <c r="P77" s="399">
        <f>+SUM(P75:P76)</f>
        <v>447.028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266</v>
      </c>
      <c r="C79" s="199"/>
      <c r="D79" s="200"/>
      <c r="E79" s="293"/>
      <c r="F79" s="285">
        <f>+F58+F65+F69+F73+F77</f>
        <v>10077.046</v>
      </c>
      <c r="G79" s="288">
        <f>+G58+G65+G69+G73+G77</f>
        <v>12319.599</v>
      </c>
      <c r="H79" s="293"/>
      <c r="I79" s="285">
        <f>+I58+I65+I69+I73+I77</f>
        <v>745.224</v>
      </c>
      <c r="J79" s="288">
        <f>+J58+J65+J69+J73+J77</f>
        <v>449.60100000000006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10822.27</v>
      </c>
      <c r="P79" s="409">
        <f>+P58+P65+P69+P73+P77</f>
        <v>12769.2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265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6967.603</v>
      </c>
      <c r="G81" s="271">
        <f>+'Cash-Flow-2018-Leva'!G81/1000</f>
        <v>8926.65</v>
      </c>
      <c r="H81" s="293"/>
      <c r="I81" s="272">
        <f>+'Cash-Flow-2018-Leva'!I81/1000</f>
        <v>1080.587</v>
      </c>
      <c r="J81" s="271">
        <f>+'Cash-Flow-2018-Leva'!J81/1000</f>
        <v>421.007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8048.1900000000005</v>
      </c>
      <c r="P81" s="395">
        <f>+G81+J81+M81</f>
        <v>9347.657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13.172</v>
      </c>
      <c r="G82" s="283">
        <f>+'Cash-Flow-2018-Leva'!G82/1000</f>
        <v>-24.624</v>
      </c>
      <c r="H82" s="293"/>
      <c r="I82" s="284">
        <f>+'Cash-Flow-2018-Leva'!I82/1000</f>
        <v>-13.172</v>
      </c>
      <c r="J82" s="283">
        <f>+'Cash-Flow-2018-Leva'!J82/1000</f>
        <v>24.624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267</v>
      </c>
      <c r="C83" s="158"/>
      <c r="D83" s="159"/>
      <c r="E83" s="293"/>
      <c r="F83" s="287">
        <f>+F81+F82</f>
        <v>6980.775</v>
      </c>
      <c r="G83" s="286">
        <f>+G81+G82</f>
        <v>8902.026</v>
      </c>
      <c r="H83" s="293"/>
      <c r="I83" s="287">
        <f>+I81+I82</f>
        <v>1067.415</v>
      </c>
      <c r="J83" s="286">
        <f>+J81+J82</f>
        <v>445.63100000000003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8048.1900000000005</v>
      </c>
      <c r="P83" s="404">
        <f>+P81+P82</f>
        <v>9347.657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268</v>
      </c>
      <c r="C85" s="154"/>
      <c r="D85" s="155"/>
      <c r="E85" s="293"/>
      <c r="F85" s="308">
        <f>+F50-F79+F83</f>
        <v>-86.04300000000057</v>
      </c>
      <c r="G85" s="307">
        <f>+G50-G79+G83</f>
        <v>368.6360000000004</v>
      </c>
      <c r="H85" s="293"/>
      <c r="I85" s="308">
        <f>+I50-I79+I83</f>
        <v>322.19799999999987</v>
      </c>
      <c r="J85" s="307">
        <f>+J50-J79+J83</f>
        <v>-3.9670000000000414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236.15500000000065</v>
      </c>
      <c r="P85" s="406">
        <f>+P50-P79+P83</f>
        <v>364.66899999999805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86.04299999999999</v>
      </c>
      <c r="G86" s="309">
        <f>+G103+G122+G129-G134</f>
        <v>-368.63599999999985</v>
      </c>
      <c r="H86" s="293"/>
      <c r="I86" s="310">
        <f>+I103+I122+I129-I134</f>
        <v>-322.19800000000004</v>
      </c>
      <c r="J86" s="309">
        <f>+J103+J122+J129-J134</f>
        <v>3.967000000000004</v>
      </c>
      <c r="K86" s="293"/>
      <c r="L86" s="310">
        <f>+L103+L122+L129-L134</f>
        <v>-7.72715225139109E-14</v>
      </c>
      <c r="M86" s="309">
        <f>+M103+M122+M129-M134</f>
        <v>5.684341886080802E-14</v>
      </c>
      <c r="N86" s="483"/>
      <c r="O86" s="407">
        <f>+O103+O122+O129-O134</f>
        <v>-236.15500000000017</v>
      </c>
      <c r="P86" s="408">
        <f>+P103+P122+P129-P134</f>
        <v>-364.6689999999997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262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269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287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270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</v>
      </c>
      <c r="G100" s="283">
        <f>+'Cash-Flow-2018-Leva'!G100/1000</f>
        <v>0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</v>
      </c>
      <c r="P100" s="401">
        <f>+G100+J100+M100</f>
        <v>0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0</v>
      </c>
      <c r="G101" s="251">
        <f>+SUM(G99:G100)</f>
        <v>0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0</v>
      </c>
      <c r="P101" s="380">
        <f>+SUM(P99:P100)</f>
        <v>0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0</v>
      </c>
      <c r="G103" s="273">
        <f>+G91+G97+G101</f>
        <v>0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0</v>
      </c>
      <c r="P103" s="397">
        <f>+P91+P97+P101</f>
        <v>0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4.415</v>
      </c>
      <c r="M118" s="244">
        <f>+'Cash-Flow-2018-Leva'!M118/1000</f>
        <v>-35.137</v>
      </c>
      <c r="N118" s="483"/>
      <c r="O118" s="383">
        <f>+F118+I118+L118</f>
        <v>4.415</v>
      </c>
      <c r="P118" s="376">
        <f>+G118+J118+M118</f>
        <v>-35.137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4.415</v>
      </c>
      <c r="M120" s="277">
        <f>+SUM(M118:M119)</f>
        <v>-35.137</v>
      </c>
      <c r="N120" s="483"/>
      <c r="O120" s="398">
        <f>+SUM(O118:O119)</f>
        <v>4.415</v>
      </c>
      <c r="P120" s="399">
        <f>+SUM(P118:P119)</f>
        <v>-35.137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4.415</v>
      </c>
      <c r="M122" s="288">
        <f>+M108+M112+M116+M120</f>
        <v>-35.137</v>
      </c>
      <c r="N122" s="483"/>
      <c r="O122" s="402">
        <f>+O108+O112+O116+O120</f>
        <v>4.415</v>
      </c>
      <c r="P122" s="409">
        <f>+P108+P112+P116+P120</f>
        <v>-35.137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-14.226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-14.226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-42.794</v>
      </c>
      <c r="G125" s="283">
        <f>+'Cash-Flow-2018-Leva'!G125/1000</f>
        <v>14.226</v>
      </c>
      <c r="H125" s="293"/>
      <c r="I125" s="284">
        <f>+'Cash-Flow-2018-Leva'!I125/1000</f>
        <v>42.794</v>
      </c>
      <c r="J125" s="283">
        <f>+'Cash-Flow-2018-Leva'!J125/1000</f>
        <v>0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0</v>
      </c>
      <c r="P125" s="401">
        <f t="shared" si="8"/>
        <v>14.226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0</v>
      </c>
      <c r="G126" s="283">
        <f>+'Cash-Flow-2018-Leva'!G126/1000</f>
        <v>0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0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303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-42.794</v>
      </c>
      <c r="G129" s="286">
        <f>+SUM(G124,G125,G126,G128)</f>
        <v>14.226</v>
      </c>
      <c r="H129" s="293"/>
      <c r="I129" s="287">
        <f>+SUM(I124,I125,I126,I128)</f>
        <v>42.794</v>
      </c>
      <c r="J129" s="286">
        <f>+SUM(J124,J125,J126,J128)</f>
        <v>-14.226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0</v>
      </c>
      <c r="P129" s="404">
        <f>+SUM(P124,P125,P126,P128)</f>
        <v>0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1483.108</v>
      </c>
      <c r="G131" s="271">
        <f>+'Cash-Flow-2018-Leva'!G131/1000</f>
        <v>1100.246</v>
      </c>
      <c r="H131" s="293"/>
      <c r="I131" s="272">
        <f>+'Cash-Flow-2018-Leva'!I131/1000</f>
        <v>49.972</v>
      </c>
      <c r="J131" s="271">
        <f>+'Cash-Flow-2018-Leva'!J131/1000</f>
        <v>68.165</v>
      </c>
      <c r="K131" s="293"/>
      <c r="L131" s="272">
        <f>+'Cash-Flow-2018-Leva'!L131/1000</f>
        <v>761.482</v>
      </c>
      <c r="M131" s="271">
        <f>+'Cash-Flow-2018-Leva'!M131/1000</f>
        <v>796.619</v>
      </c>
      <c r="N131" s="483"/>
      <c r="O131" s="382">
        <f aca="true" t="shared" si="9" ref="O131:P133">+F131+I131+L131</f>
        <v>2294.562</v>
      </c>
      <c r="P131" s="395">
        <f t="shared" si="9"/>
        <v>1965.0300000000002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0</v>
      </c>
      <c r="G132" s="283">
        <f>+'Cash-Flow-2018-Leva'!G132/1000</f>
        <v>0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0</v>
      </c>
      <c r="P132" s="401">
        <f t="shared" si="9"/>
        <v>0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1354.271</v>
      </c>
      <c r="G133" s="283">
        <f>+'Cash-Flow-2018-Leva'!G133/1000</f>
        <v>1483.108</v>
      </c>
      <c r="H133" s="293"/>
      <c r="I133" s="284">
        <f>+'Cash-Flow-2018-Leva'!I133/1000</f>
        <v>414.964</v>
      </c>
      <c r="J133" s="283">
        <f>+'Cash-Flow-2018-Leva'!J133/1000</f>
        <v>49.972</v>
      </c>
      <c r="K133" s="293"/>
      <c r="L133" s="284">
        <f>+'Cash-Flow-2018-Leva'!L133/1000</f>
        <v>765.897</v>
      </c>
      <c r="M133" s="283">
        <f>+'Cash-Flow-2018-Leva'!M133/1000</f>
        <v>761.482</v>
      </c>
      <c r="N133" s="483"/>
      <c r="O133" s="378">
        <f t="shared" si="9"/>
        <v>2535.132</v>
      </c>
      <c r="P133" s="401">
        <f t="shared" si="9"/>
        <v>2294.562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-128.837</v>
      </c>
      <c r="G134" s="291">
        <f>+G133-G131-G132</f>
        <v>382.86199999999985</v>
      </c>
      <c r="H134" s="293"/>
      <c r="I134" s="292">
        <f>+I133-I131-I132</f>
        <v>364.992</v>
      </c>
      <c r="J134" s="291">
        <f>+J133-J131-J132</f>
        <v>-18.193000000000005</v>
      </c>
      <c r="K134" s="293"/>
      <c r="L134" s="292">
        <f>+L133-L131-L132</f>
        <v>4.415000000000077</v>
      </c>
      <c r="M134" s="291">
        <f>+M133-M131-M132</f>
        <v>-35.13700000000006</v>
      </c>
      <c r="N134" s="483"/>
      <c r="O134" s="411">
        <f>+O133-O131-O132</f>
        <v>240.57000000000016</v>
      </c>
      <c r="P134" s="412">
        <f>+P133-P131-P132</f>
        <v>329.5319999999997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15102018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282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283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280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281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306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307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Потребител на Windows</cp:lastModifiedBy>
  <cp:lastPrinted>2018-10-15T06:33:07Z</cp:lastPrinted>
  <dcterms:created xsi:type="dcterms:W3CDTF">2015-12-01T07:17:04Z</dcterms:created>
  <dcterms:modified xsi:type="dcterms:W3CDTF">2018-11-02T10:02:05Z</dcterms:modified>
  <cp:category/>
  <cp:version/>
  <cp:contentType/>
  <cp:contentStatus/>
</cp:coreProperties>
</file>